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O:\sd_0212\Suchomel\Kalkulačky\"/>
    </mc:Choice>
  </mc:AlternateContent>
  <xr:revisionPtr revIDLastSave="0" documentId="13_ncr:1_{0BADDBF8-0BF9-4BA6-9CDB-B61EAF6FE119}" xr6:coauthVersionLast="47" xr6:coauthVersionMax="47" xr10:uidLastSave="{00000000-0000-0000-0000-000000000000}"/>
  <bookViews>
    <workbookView xWindow="-120" yWindow="-120" windowWidth="29040" windowHeight="15840" xr2:uid="{3FF8442A-CE24-4C13-9F7C-0AFBEB8A26F1}"/>
  </bookViews>
  <sheets>
    <sheet name="Důchodový věk" sheetId="1" r:id="rId1"/>
  </sheets>
  <definedNames>
    <definedName name="RokyTabulky">'Důchodový věk'!$H$5:$H$59</definedName>
    <definedName name="VěkováTabulka">'Důchodový věk'!$I$5:$V$59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  <c r="F13" i="1" s="1"/>
  <c r="F5" i="1"/>
  <c r="F6" i="1"/>
  <c r="F8" i="1"/>
  <c r="F10" i="1" s="1"/>
  <c r="F20" i="1"/>
  <c r="F21" i="1"/>
  <c r="F24" i="1"/>
  <c r="F27" i="1" s="1"/>
  <c r="F40" i="1"/>
  <c r="F41" i="1"/>
  <c r="G16" i="1" l="1" a="1"/>
  <c r="G16" i="1" s="1"/>
  <c r="G15" i="1" a="1"/>
  <c r="G15" i="1" s="1"/>
  <c r="F15" i="1" a="1"/>
  <c r="F15" i="1" s="1"/>
  <c r="F11" i="1"/>
  <c r="F16" i="1" s="1" a="1"/>
  <c r="F16" i="1" s="1"/>
  <c r="F45" i="1" l="1"/>
  <c r="F44" i="1"/>
  <c r="F34" i="1"/>
  <c r="F18" i="1"/>
  <c r="G32" i="1" l="1"/>
  <c r="G31" i="1" s="1"/>
  <c r="D14" i="1" s="1"/>
  <c r="F23" i="1"/>
  <c r="F31" i="1"/>
  <c r="F32" i="1" l="1"/>
  <c r="F36" i="1"/>
  <c r="F28" i="1"/>
  <c r="F29" i="1" s="1"/>
  <c r="B11" i="1" l="1"/>
  <c r="B9" i="1"/>
  <c r="B7" i="1"/>
  <c r="B6" i="1"/>
  <c r="C18" i="1"/>
  <c r="C15" i="1" l="1"/>
  <c r="B10" i="1" s="1"/>
  <c r="B8" i="1" l="1"/>
  <c r="C14" i="1"/>
  <c r="C65" i="1"/>
  <c r="C64" i="1" l="1"/>
  <c r="C16" i="1"/>
  <c r="C66" i="1" s="1"/>
  <c r="C67" i="1" l="1"/>
  <c r="B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<sst xmlns="http://schemas.openxmlformats.org/spreadsheetml/2006/main" count="54" uniqueCount="54">
  <si>
    <t>Stanovení dne vzniku nároku na starobní důchod</t>
  </si>
  <si>
    <t>Vyplňte prosím údaje do zelených buněk</t>
  </si>
  <si>
    <t>Datum vašeho narození</t>
  </si>
  <si>
    <t>Pohlaví</t>
  </si>
  <si>
    <t>Podmínka na řádný</t>
  </si>
  <si>
    <t>Podmínka na plus 5</t>
  </si>
  <si>
    <t>Podmínka na předčasný</t>
  </si>
  <si>
    <t>rok narození</t>
  </si>
  <si>
    <t>měsíc narození</t>
  </si>
  <si>
    <t>den narození</t>
  </si>
  <si>
    <t>muž</t>
  </si>
  <si>
    <t>žena</t>
  </si>
  <si>
    <t>5 nebo více</t>
  </si>
  <si>
    <t>Sloupec</t>
  </si>
  <si>
    <t>Sloupec rok</t>
  </si>
  <si>
    <t>Sloupec měsíc</t>
  </si>
  <si>
    <t>Věk roky</t>
  </si>
  <si>
    <t>Věk měsíce</t>
  </si>
  <si>
    <t>Dosažení datum</t>
  </si>
  <si>
    <t>Rok řádek</t>
  </si>
  <si>
    <t>Rozsah tabulky</t>
  </si>
  <si>
    <t>DV - 3</t>
  </si>
  <si>
    <t>60  narozeniny</t>
  </si>
  <si>
    <t>Leg změna</t>
  </si>
  <si>
    <t>60 před leg změnou</t>
  </si>
  <si>
    <t>DV-3 před leg změnou</t>
  </si>
  <si>
    <t>Sum</t>
  </si>
  <si>
    <t>M-roky</t>
  </si>
  <si>
    <t>M-měsíce</t>
  </si>
  <si>
    <t>Ž0-roky</t>
  </si>
  <si>
    <t>Ž0-měsíce</t>
  </si>
  <si>
    <t>Ž1-roky</t>
  </si>
  <si>
    <t>Ž1-měsíce</t>
  </si>
  <si>
    <t>Ž2-roky</t>
  </si>
  <si>
    <t>Ž2-měsíce</t>
  </si>
  <si>
    <t>Ž3-roky</t>
  </si>
  <si>
    <t>Ž3-měsíce</t>
  </si>
  <si>
    <t>Ž4-roky</t>
  </si>
  <si>
    <t>Ž4-měsíce</t>
  </si>
  <si>
    <t>Ž5-roky</t>
  </si>
  <si>
    <t>Ž5-měsíce</t>
  </si>
  <si>
    <t>RokNar</t>
  </si>
  <si>
    <t>Rok-DV</t>
  </si>
  <si>
    <t>Podmínka S</t>
  </si>
  <si>
    <t>Podmínka SR</t>
  </si>
  <si>
    <t>Změna ST</t>
  </si>
  <si>
    <t>Podmínka řádný</t>
  </si>
  <si>
    <t>Rozsah tabulky podmínek</t>
  </si>
  <si>
    <t>Podmínka SRN</t>
  </si>
  <si>
    <t>DV - 3 pod 60</t>
  </si>
  <si>
    <t>Předčasný</t>
  </si>
  <si>
    <t>DV M + 5</t>
  </si>
  <si>
    <t>DV M + 2</t>
  </si>
  <si>
    <t>Změna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</si>
</sst>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3" borderId="0" xfId="0" applyFill="1" applyProtection="1">
      <protection hidden="1"/>
    </xf>
    <xf numFmtId="0" fontId="0" fillId="3" borderId="0" xfId="0" applyFill="1" applyAlignment="1" applyProtection="1">
      <alignment horizontal="center"/>
      <protection hidden="1"/>
    </xf>
    <xf numFmtId="0" fontId="0" fillId="3" borderId="2" xfId="0" applyFill="1" applyBorder="1" applyAlignment="1" applyProtection="1">
      <alignment horizontal="center" vertic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protection hidden="1"/>
    </xf>
    <xf numFmtId="0" fontId="0" fillId="3" borderId="7" xfId="0" applyFill="1" applyBorder="1" applyAlignment="1" applyProtection="1">
      <protection hidden="1"/>
    </xf>
    <xf numFmtId="14" fontId="0" fillId="3" borderId="0" xfId="0" applyNumberFormat="1" applyFill="1" applyProtection="1">
      <protection hidden="1"/>
    </xf>
    <xf numFmtId="1" fontId="0" fillId="3" borderId="0" xfId="0" applyNumberFormat="1" applyFill="1" applyProtection="1"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0" fontId="0" fillId="3" borderId="3" xfId="0" applyFill="1" applyBorder="1" applyAlignment="1" applyProtection="1">
      <alignment horizontal="center"/>
      <protection hidden="1"/>
    </xf>
    <xf numFmtId="0" fontId="0" fillId="3" borderId="4" xfId="0" applyFill="1" applyBorder="1" applyAlignment="1" applyProtection="1">
      <alignment horizontal="center"/>
      <protection hidden="1"/>
    </xf>
    <xf numFmtId="14" fontId="0" fillId="3" borderId="0" xfId="0" applyNumberFormat="1" applyFill="1" applyAlignment="1" applyProtection="1">
      <alignment horizontal="right"/>
      <protection hidden="1"/>
    </xf>
    <xf numFmtId="0" fontId="0" fillId="3" borderId="0" xfId="0" applyFill="1" applyAlignment="1" applyProtection="1">
      <protection hidden="1"/>
    </xf>
    <xf numFmtId="14" fontId="1" fillId="3" borderId="0" xfId="0" applyNumberFormat="1" applyFont="1" applyFill="1" applyAlignment="1" applyProtection="1">
      <protection hidden="1"/>
    </xf>
    <xf numFmtId="14" fontId="0" fillId="2" borderId="8" xfId="0" applyNumberFormat="1" applyFill="1" applyBorder="1" applyAlignment="1" applyProtection="1">
      <alignment horizontal="right"/>
      <protection locked="0"/>
    </xf>
    <xf numFmtId="0" fontId="0" fillId="2" borderId="9" xfId="0" applyFill="1" applyBorder="1" applyAlignment="1" applyProtection="1">
      <alignment horizontal="right"/>
      <protection locked="0"/>
    </xf>
    <xf numFmtId="0" fontId="0" fillId="2" borderId="9" xfId="0" applyFill="1" applyBorder="1" applyProtection="1">
      <protection locked="0"/>
    </xf>
    <xf numFmtId="0" fontId="0" fillId="3" borderId="8" xfId="0" applyFill="1" applyBorder="1" applyProtection="1">
      <protection hidden="1"/>
    </xf>
    <xf numFmtId="0" fontId="0" fillId="3" borderId="9" xfId="0" applyFill="1" applyBorder="1" applyProtection="1">
      <protection hidden="1"/>
    </xf>
    <xf numFmtId="0" fontId="0" fillId="3" borderId="17" xfId="0" applyFill="1" applyBorder="1" applyProtection="1">
      <protection hidden="1"/>
    </xf>
    <xf numFmtId="14" fontId="0" fillId="3" borderId="8" xfId="0" applyNumberFormat="1" applyFill="1" applyBorder="1" applyProtection="1">
      <protection hidden="1"/>
    </xf>
    <xf numFmtId="0" fontId="1" fillId="3" borderId="0" xfId="0" applyFont="1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protection hidden="1"/>
    </xf>
    <xf numFmtId="0" fontId="2" fillId="3" borderId="0" xfId="0" applyFont="1" applyFill="1" applyAlignment="1" applyProtection="1">
      <alignment horizontal="center"/>
      <protection hidden="1"/>
    </xf>
    <xf numFmtId="0" fontId="2" fillId="0" borderId="0" xfId="0" applyFont="1" applyAlignment="1">
      <alignment horizontal="center"/>
    </xf>
    <xf numFmtId="0" fontId="0" fillId="3" borderId="0" xfId="0" applyFill="1" applyAlignment="1" applyProtection="1">
      <alignment horizontal="center" vertical="top"/>
      <protection hidden="1"/>
    </xf>
    <xf numFmtId="0" fontId="0" fillId="0" borderId="0" xfId="0" applyAlignment="1">
      <alignment horizontal="center" vertical="top"/>
    </xf>
    <xf numFmtId="14" fontId="1" fillId="3" borderId="1" xfId="0" applyNumberFormat="1" applyFont="1" applyFill="1" applyBorder="1" applyAlignment="1" applyProtection="1">
      <alignment vertical="center" wrapText="1"/>
      <protection hidden="1"/>
    </xf>
    <xf numFmtId="0" fontId="0" fillId="0" borderId="15" xfId="0" applyBorder="1" applyAlignment="1"/>
    <xf numFmtId="0" fontId="0" fillId="0" borderId="2" xfId="0" applyBorder="1" applyAlignment="1"/>
    <xf numFmtId="14" fontId="0" fillId="3" borderId="10" xfId="0" applyNumberFormat="1" applyFill="1" applyBorder="1" applyAlignment="1" applyProtection="1">
      <alignment vertical="center" wrapText="1"/>
      <protection hidden="1"/>
    </xf>
    <xf numFmtId="0" fontId="0" fillId="0" borderId="14" xfId="0" applyBorder="1" applyAlignment="1"/>
    <xf numFmtId="0" fontId="0" fillId="0" borderId="11" xfId="0" applyBorder="1" applyAlignment="1"/>
    <xf numFmtId="14" fontId="1" fillId="3" borderId="12" xfId="0" applyNumberFormat="1" applyFont="1" applyFill="1" applyBorder="1" applyAlignment="1" applyProtection="1">
      <alignment vertical="center" wrapText="1"/>
      <protection hidden="1"/>
    </xf>
    <xf numFmtId="0" fontId="0" fillId="0" borderId="16" xfId="0" applyBorder="1" applyAlignment="1"/>
    <xf numFmtId="0" fontId="0" fillId="0" borderId="13" xfId="0" applyBorder="1" applyAlignment="1"/>
    <xf numFmtId="14" fontId="1" fillId="4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4" borderId="15" xfId="0" applyFill="1" applyBorder="1" applyAlignment="1">
      <alignment horizontal="center"/>
    </xf>
    <xf numFmtId="0" fontId="0" fillId="4" borderId="2" xfId="0" applyFill="1" applyBorder="1" applyAlignment="1">
      <alignment horizontal="center"/>
    </xf>
  </cellXfs>
  <cellStyles count="1">
    <cellStyle name="Normální" xfId="0" builtinId="0"/>
  </cellStyles>
  <dxfs count="7">
    <dxf>
      <fill>
        <patternFill>
          <fgColor indexed="64"/>
          <bgColor theme="0"/>
        </patternFill>
      </fill>
      <protection locked="1" hidden="1"/>
    </dxf>
    <dxf>
      <fill>
        <patternFill>
          <fgColor indexed="64"/>
          <bgColor theme="0"/>
        </patternFill>
      </fill>
      <protection locked="1" hidden="1"/>
    </dxf>
    <dxf>
      <fill>
        <patternFill>
          <fgColor indexed="64"/>
          <bgColor theme="0"/>
        </patternFill>
      </fill>
      <protection locked="1" hidden="1"/>
    </dxf>
    <dxf>
      <fill>
        <patternFill>
          <fgColor indexed="64"/>
          <bgColor theme="0"/>
        </patternFill>
      </fill>
      <protection locked="1" hidden="1"/>
    </dxf>
    <dxf>
      <fill>
        <patternFill>
          <fgColor indexed="64"/>
          <bgColor theme="0"/>
        </patternFill>
      </fill>
      <protection locked="1" hidden="1"/>
    </dxf>
    <dxf>
      <font>
        <color theme="0"/>
      </font>
      <fill>
        <patternFill>
          <bgColor theme="0"/>
        </patternFill>
      </fill>
    </dxf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DCDDCFB-F3B4-4440-9BD8-A8739041D142}" name="PodmínkyNároku" displayName="PodmínkyNároku" ref="Y14:AA25" totalsRowShown="0" headerRowDxfId="4" dataDxfId="3">
  <autoFilter ref="Y14:AA25" xr:uid="{FDCDDCFB-F3B4-4440-9BD8-A8739041D142}"/>
  <tableColumns count="3">
    <tableColumn id="1" xr3:uid="{5F2072A2-723A-4C2A-9602-8C453BBE2512}" name="Rok-DV" dataDxfId="2"/>
    <tableColumn id="2" xr3:uid="{582A3D24-2701-457C-95BC-4E378DD4723F}" name="Podmínka S" dataDxfId="1"/>
    <tableColumn id="3" xr3:uid="{6C588BBE-7EED-47CB-BBB2-B6D54924FA7C}" name="Podmínka SR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B53ED-2404-498E-AF34-B91C652E6698}">
  <sheetPr codeName="List1"/>
  <dimension ref="B2:AA69"/>
  <sheetViews>
    <sheetView tabSelected="1" zoomScale="120" zoomScaleNormal="120" workbookViewId="0">
      <selection activeCell="C5" sqref="C5"/>
    </sheetView>
  </sheetViews>
  <sheetFormatPr defaultColWidth="9.140625" defaultRowHeight="15" x14ac:dyDescent="0.25"/>
  <cols>
    <col min="1" max="1" width="4.5703125" style="1" customWidth="1"/>
    <col min="2" max="2" width="69.85546875" style="1" customWidth="1"/>
    <col min="3" max="3" width="13" style="1" customWidth="1"/>
    <col min="4" max="4" width="2" style="1" customWidth="1"/>
    <col min="5" max="5" width="22.42578125" style="1" hidden="1" customWidth="1"/>
    <col min="6" max="7" width="9.85546875" style="1" hidden="1" customWidth="1"/>
    <col min="8" max="9" width="6.85546875" style="1" hidden="1" customWidth="1"/>
    <col min="10" max="10" width="8.85546875" style="1" hidden="1" customWidth="1"/>
    <col min="11" max="11" width="7" style="1" hidden="1" customWidth="1"/>
    <col min="12" max="12" width="9.140625" style="1" hidden="1" customWidth="1"/>
    <col min="13" max="13" width="7" style="1" hidden="1" customWidth="1"/>
    <col min="14" max="14" width="9.140625" style="1" hidden="1" customWidth="1"/>
    <col min="15" max="15" width="7" style="1" hidden="1" customWidth="1"/>
    <col min="16" max="16" width="9.140625" style="1" hidden="1" customWidth="1"/>
    <col min="17" max="17" width="7" style="1" hidden="1" customWidth="1"/>
    <col min="18" max="18" width="9.140625" style="1" hidden="1" customWidth="1"/>
    <col min="19" max="19" width="7" style="1" hidden="1" customWidth="1"/>
    <col min="20" max="20" width="9.140625" style="1" hidden="1" customWidth="1"/>
    <col min="21" max="21" width="7" style="1" hidden="1" customWidth="1"/>
    <col min="22" max="22" width="9.140625" style="1" hidden="1" customWidth="1"/>
    <col min="23" max="24" width="0" style="1" hidden="1" customWidth="1"/>
    <col min="25" max="25" width="9.42578125" style="1" hidden="1" customWidth="1"/>
    <col min="26" max="26" width="12.85546875" style="1" hidden="1" customWidth="1"/>
    <col min="27" max="27" width="14" style="1" hidden="1" customWidth="1"/>
    <col min="28" max="28" width="0" style="1" hidden="1" customWidth="1"/>
    <col min="29" max="16384" width="9.140625" style="1"/>
  </cols>
  <sheetData>
    <row r="2" spans="2:27" ht="19.5" thickBot="1" x14ac:dyDescent="0.35">
      <c r="B2" s="26" t="s">
        <v>0</v>
      </c>
      <c r="C2" s="27"/>
      <c r="D2" s="27"/>
      <c r="E2" s="2"/>
      <c r="F2" s="2"/>
    </row>
    <row r="3" spans="2:27" ht="32.25" customHeight="1" thickBot="1" x14ac:dyDescent="0.3">
      <c r="B3" s="28" t="s">
        <v>1</v>
      </c>
      <c r="C3" s="29"/>
      <c r="D3" s="29"/>
      <c r="E3" s="2"/>
      <c r="F3" s="2"/>
      <c r="J3" s="3"/>
      <c r="K3" s="4"/>
      <c r="L3" s="5"/>
      <c r="M3" s="5"/>
      <c r="N3" s="5"/>
      <c r="O3" s="5"/>
      <c r="P3" s="5"/>
      <c r="Q3" s="5"/>
      <c r="R3" s="5"/>
      <c r="S3" s="5"/>
      <c r="T3" s="5"/>
      <c r="U3" s="6"/>
      <c r="V3" s="7"/>
    </row>
    <row r="4" spans="2:27" ht="15.75" thickBot="1" x14ac:dyDescent="0.3">
      <c r="B4" s="19" t="s">
        <v>2</v>
      </c>
      <c r="C4" s="16"/>
      <c r="D4" s="22"/>
      <c r="E4" s="8" t="s">
        <v>7</v>
      </c>
      <c r="F4" s="9">
        <f>YEAR(C4)</f>
        <v>1900</v>
      </c>
      <c r="H4" s="1" t="s">
        <v>41</v>
      </c>
      <c r="I4" s="10" t="s">
        <v>27</v>
      </c>
      <c r="J4" s="10" t="s">
        <v>28</v>
      </c>
      <c r="K4" s="11" t="s">
        <v>29</v>
      </c>
      <c r="L4" s="12" t="s">
        <v>30</v>
      </c>
      <c r="M4" s="11" t="s">
        <v>31</v>
      </c>
      <c r="N4" s="12" t="s">
        <v>32</v>
      </c>
      <c r="O4" s="11" t="s">
        <v>33</v>
      </c>
      <c r="P4" s="12" t="s">
        <v>34</v>
      </c>
      <c r="Q4" s="11" t="s">
        <v>35</v>
      </c>
      <c r="R4" s="12" t="s">
        <v>36</v>
      </c>
      <c r="S4" s="11" t="s">
        <v>37</v>
      </c>
      <c r="T4" s="12" t="s">
        <v>38</v>
      </c>
      <c r="U4" s="11" t="s">
        <v>39</v>
      </c>
      <c r="V4" s="12" t="s">
        <v>40</v>
      </c>
    </row>
    <row r="5" spans="2:27" x14ac:dyDescent="0.25">
      <c r="B5" s="20" t="s">
        <v>3</v>
      </c>
      <c r="C5" s="17"/>
      <c r="D5" s="20"/>
      <c r="E5" s="1" t="s">
        <v>8</v>
      </c>
      <c r="F5" s="1">
        <f>MONTH(C4)</f>
        <v>1</v>
      </c>
      <c r="H5" s="1">
        <v>1935</v>
      </c>
      <c r="I5" s="1">
        <v>60</v>
      </c>
      <c r="J5" s="1">
        <v>0</v>
      </c>
      <c r="K5" s="1">
        <v>57</v>
      </c>
      <c r="L5" s="1">
        <v>0</v>
      </c>
      <c r="M5" s="1">
        <v>56</v>
      </c>
      <c r="N5" s="1">
        <v>0</v>
      </c>
      <c r="O5" s="1">
        <v>55</v>
      </c>
      <c r="P5" s="1">
        <v>0</v>
      </c>
      <c r="Q5" s="1">
        <v>54</v>
      </c>
      <c r="R5" s="1">
        <v>0</v>
      </c>
      <c r="S5" s="1">
        <v>54</v>
      </c>
      <c r="T5" s="1">
        <v>0</v>
      </c>
      <c r="U5" s="1">
        <v>53</v>
      </c>
      <c r="V5" s="1">
        <v>0</v>
      </c>
      <c r="Y5" s="1" t="s">
        <v>10</v>
      </c>
      <c r="Z5" s="1">
        <v>0</v>
      </c>
      <c r="AA5" s="1">
        <v>1</v>
      </c>
    </row>
    <row r="6" spans="2:27" ht="15.75" thickBot="1" x14ac:dyDescent="0.3">
      <c r="B6" s="21" t="str">
        <f>IF(OR($C$5="muž",$C$5="",OR(YEAR($C$4)&gt;1971,$C$4="")),"","Počet vychovaných dětí")</f>
        <v/>
      </c>
      <c r="C6" s="18"/>
      <c r="D6" s="21"/>
      <c r="E6" s="1" t="s">
        <v>9</v>
      </c>
      <c r="F6" s="1">
        <f>DAY(C4)</f>
        <v>0</v>
      </c>
      <c r="H6" s="1">
        <v>1936</v>
      </c>
      <c r="I6" s="1">
        <v>60</v>
      </c>
      <c r="J6" s="1">
        <v>2</v>
      </c>
      <c r="K6" s="1">
        <v>57</v>
      </c>
      <c r="L6" s="1">
        <v>0</v>
      </c>
      <c r="M6" s="1">
        <v>56</v>
      </c>
      <c r="N6" s="1">
        <v>0</v>
      </c>
      <c r="O6" s="1">
        <v>55</v>
      </c>
      <c r="P6" s="1">
        <v>0</v>
      </c>
      <c r="Q6" s="1">
        <v>54</v>
      </c>
      <c r="R6" s="1">
        <v>0</v>
      </c>
      <c r="S6" s="1">
        <v>54</v>
      </c>
      <c r="T6" s="1">
        <v>0</v>
      </c>
      <c r="U6" s="1">
        <v>53</v>
      </c>
      <c r="V6" s="1">
        <v>0</v>
      </c>
      <c r="Y6" s="1" t="s">
        <v>11</v>
      </c>
      <c r="Z6" s="1">
        <v>1</v>
      </c>
      <c r="AA6" s="1">
        <v>2</v>
      </c>
    </row>
    <row r="7" spans="2:27" ht="15" customHeight="1" thickBot="1" x14ac:dyDescent="0.3">
      <c r="B7" s="39" t="str">
        <f>IF(OR($C$4="",$C$5=""),"","Řádný starobní důchod")</f>
        <v/>
      </c>
      <c r="C7" s="40"/>
      <c r="D7" s="41"/>
      <c r="H7" s="1">
        <v>1937</v>
      </c>
      <c r="I7" s="1">
        <v>60</v>
      </c>
      <c r="J7" s="1">
        <v>4</v>
      </c>
      <c r="K7" s="1">
        <v>57</v>
      </c>
      <c r="L7" s="1">
        <v>0</v>
      </c>
      <c r="M7" s="1">
        <v>56</v>
      </c>
      <c r="N7" s="1">
        <v>0</v>
      </c>
      <c r="O7" s="1">
        <v>55</v>
      </c>
      <c r="P7" s="1">
        <v>0</v>
      </c>
      <c r="Q7" s="1">
        <v>54</v>
      </c>
      <c r="R7" s="1">
        <v>0</v>
      </c>
      <c r="S7" s="1">
        <v>54</v>
      </c>
      <c r="T7" s="1">
        <v>0</v>
      </c>
      <c r="U7" s="1">
        <v>53</v>
      </c>
      <c r="V7" s="1">
        <v>0</v>
      </c>
      <c r="Z7" s="1">
        <v>2</v>
      </c>
      <c r="AA7" s="1">
        <v>3</v>
      </c>
    </row>
    <row r="8" spans="2:27" ht="47.25" customHeight="1" thickBot="1" x14ac:dyDescent="0.3">
      <c r="B8" s="30" t="str">
        <f>IF(OR($C$4="",$C$5=""),"",CONCATENATE("Do řádného starobního důchodu můžete odejít nejdříve ",TEXT($F$18,"DD. MM. RRRR"),", pokud jste získal",IF($C$5="muž"," ","a "),"alespoň ",$C$14,IF($F$31&gt;30," let doby pojištění nebo 30 let doby pojištění bez náhradních dob."," let doby pojištění.")))</f>
        <v/>
      </c>
      <c r="C8" s="31"/>
      <c r="D8" s="32"/>
      <c r="E8" s="1" t="s">
        <v>13</v>
      </c>
      <c r="F8" s="1">
        <f>IF(C5="muž",0,VLOOKUP($C$6,$Z$5:$AA$10,2))</f>
        <v>1</v>
      </c>
      <c r="H8" s="1">
        <v>1938</v>
      </c>
      <c r="I8" s="1">
        <v>60</v>
      </c>
      <c r="J8" s="1">
        <v>6</v>
      </c>
      <c r="K8" s="1">
        <v>57</v>
      </c>
      <c r="L8" s="1">
        <v>0</v>
      </c>
      <c r="M8" s="1">
        <v>56</v>
      </c>
      <c r="N8" s="1">
        <v>0</v>
      </c>
      <c r="O8" s="1">
        <v>55</v>
      </c>
      <c r="P8" s="1">
        <v>0</v>
      </c>
      <c r="Q8" s="1">
        <v>54</v>
      </c>
      <c r="R8" s="1">
        <v>0</v>
      </c>
      <c r="S8" s="1">
        <v>54</v>
      </c>
      <c r="T8" s="1">
        <v>0</v>
      </c>
      <c r="U8" s="1">
        <v>53</v>
      </c>
      <c r="V8" s="1">
        <v>0</v>
      </c>
      <c r="Z8" s="1">
        <v>3</v>
      </c>
      <c r="AA8" s="1">
        <v>4</v>
      </c>
    </row>
    <row r="9" spans="2:27" ht="15.75" customHeight="1" x14ac:dyDescent="0.25">
      <c r="B9" s="39" t="str">
        <f>IF(OR($C$4="",$C$5=""),"","Odložený starobní důchod")</f>
        <v/>
      </c>
      <c r="C9" s="40"/>
      <c r="D9" s="41"/>
      <c r="H9" s="1">
        <v>1939</v>
      </c>
      <c r="I9" s="1">
        <v>60</v>
      </c>
      <c r="J9" s="1">
        <v>8</v>
      </c>
      <c r="K9" s="1">
        <v>57</v>
      </c>
      <c r="L9" s="1">
        <v>4</v>
      </c>
      <c r="M9" s="1">
        <v>56</v>
      </c>
      <c r="N9" s="1">
        <v>0</v>
      </c>
      <c r="O9" s="1">
        <v>55</v>
      </c>
      <c r="P9" s="1">
        <v>0</v>
      </c>
      <c r="Q9" s="1">
        <v>54</v>
      </c>
      <c r="R9" s="1">
        <v>0</v>
      </c>
      <c r="S9" s="1">
        <v>54</v>
      </c>
      <c r="T9" s="1">
        <v>0</v>
      </c>
      <c r="U9" s="1">
        <v>53</v>
      </c>
      <c r="V9" s="1">
        <v>0</v>
      </c>
      <c r="Z9" s="1">
        <v>4</v>
      </c>
      <c r="AA9" s="1">
        <v>5</v>
      </c>
    </row>
    <row r="10" spans="2:27" ht="74.099999999999994" customHeight="1" thickBot="1" x14ac:dyDescent="0.3">
      <c r="B10" s="33" t="str">
        <f>IF(OR($C$4="",$C$5=""),"",CONCATENATE("Pokud jste do ",TEXT($G$32-1,"DD. MM. RRRR"), " nesplnil",IF($C$5="muž"," ","a "),"podmínku ",$D$14,IF($F$31&gt;30," let doby pojištění nebo 30 let doby pojištění bez náhradních dob,"," let doby pojištění")," můžete do starobního důchodu odejít nejdříve ",TEXT($G$32,"DD. MM. RRRR")," v případě, že jste získal",IF($C$5="muž"," ","a "),"alespoň ",$C$15,IF($F$32&gt;15," let doby pojištění nebo 15 let doby pojištění bez náhradních dob."," let doby pojištění.")))</f>
        <v/>
      </c>
      <c r="C10" s="34"/>
      <c r="D10" s="35"/>
      <c r="E10" s="1" t="s">
        <v>14</v>
      </c>
      <c r="F10" s="1">
        <f>2*F8+1</f>
        <v>3</v>
      </c>
      <c r="H10" s="1">
        <v>1940</v>
      </c>
      <c r="I10" s="1">
        <v>60</v>
      </c>
      <c r="J10" s="1">
        <v>10</v>
      </c>
      <c r="K10" s="1">
        <v>57</v>
      </c>
      <c r="L10" s="1">
        <v>8</v>
      </c>
      <c r="M10" s="1">
        <v>56</v>
      </c>
      <c r="N10" s="1">
        <v>4</v>
      </c>
      <c r="O10" s="1">
        <v>55</v>
      </c>
      <c r="P10" s="1">
        <v>0</v>
      </c>
      <c r="Q10" s="1">
        <v>54</v>
      </c>
      <c r="R10" s="1">
        <v>0</v>
      </c>
      <c r="S10" s="1">
        <v>54</v>
      </c>
      <c r="T10" s="1">
        <v>0</v>
      </c>
      <c r="U10" s="1">
        <v>53</v>
      </c>
      <c r="V10" s="1">
        <v>0</v>
      </c>
      <c r="Z10" s="1" t="s">
        <v>12</v>
      </c>
      <c r="AA10" s="1">
        <v>6</v>
      </c>
    </row>
    <row r="11" spans="2:27" x14ac:dyDescent="0.25">
      <c r="B11" s="39" t="str">
        <f>IF(OR($C$4="",$C$5=""),"","Předčasný starobní důchod")</f>
        <v/>
      </c>
      <c r="C11" s="40"/>
      <c r="D11" s="41"/>
      <c r="E11" s="1" t="s">
        <v>15</v>
      </c>
      <c r="F11" s="1">
        <f>2*F8+2</f>
        <v>4</v>
      </c>
      <c r="H11" s="1">
        <v>1941</v>
      </c>
      <c r="I11" s="1">
        <v>61</v>
      </c>
      <c r="J11" s="1">
        <v>0</v>
      </c>
      <c r="K11" s="1">
        <v>58</v>
      </c>
      <c r="L11" s="1">
        <v>0</v>
      </c>
      <c r="M11" s="1">
        <v>56</v>
      </c>
      <c r="N11" s="1">
        <v>8</v>
      </c>
      <c r="O11" s="1">
        <v>55</v>
      </c>
      <c r="P11" s="1">
        <v>4</v>
      </c>
      <c r="Q11" s="1">
        <v>54</v>
      </c>
      <c r="R11" s="1">
        <v>0</v>
      </c>
      <c r="S11" s="1">
        <v>54</v>
      </c>
      <c r="T11" s="1">
        <v>0</v>
      </c>
      <c r="U11" s="1">
        <v>53</v>
      </c>
      <c r="V11" s="1">
        <v>0</v>
      </c>
    </row>
    <row r="12" spans="2:27" ht="140.44999999999999" customHeight="1" thickBot="1" x14ac:dyDescent="0.3">
      <c r="B12" s="36" t="str">
        <f>IF(OR($C$4="",$C$5=""),"",IF($F$29=2,$C$65,IF($F$29=0,$C$66,IF(F34=1,$C$67,$C$64))))</f>
        <v/>
      </c>
      <c r="C12" s="37"/>
      <c r="D12" s="38"/>
      <c r="H12" s="1">
        <v>1942</v>
      </c>
      <c r="I12" s="1">
        <v>61</v>
      </c>
      <c r="J12" s="1">
        <v>2</v>
      </c>
      <c r="K12" s="1">
        <v>58</v>
      </c>
      <c r="L12" s="1">
        <v>4</v>
      </c>
      <c r="M12" s="1">
        <v>57</v>
      </c>
      <c r="N12" s="1">
        <v>0</v>
      </c>
      <c r="O12" s="1">
        <v>55</v>
      </c>
      <c r="P12" s="1">
        <v>8</v>
      </c>
      <c r="Q12" s="1">
        <v>54</v>
      </c>
      <c r="R12" s="1">
        <v>4</v>
      </c>
      <c r="S12" s="1">
        <v>54</v>
      </c>
      <c r="T12" s="1">
        <v>4</v>
      </c>
      <c r="U12" s="1">
        <v>53</v>
      </c>
      <c r="V12" s="1">
        <v>0</v>
      </c>
    </row>
    <row r="13" spans="2:27" x14ac:dyDescent="0.25">
      <c r="E13" s="1" t="s">
        <v>19</v>
      </c>
      <c r="F13" s="1">
        <f>IF(F4&lt;MIN($H$5:$H$42),1,MATCH($F$4,RokyTabulky))</f>
        <v>1</v>
      </c>
      <c r="H13" s="1">
        <v>1943</v>
      </c>
      <c r="I13" s="1">
        <v>61</v>
      </c>
      <c r="J13" s="1">
        <v>4</v>
      </c>
      <c r="K13" s="1">
        <v>58</v>
      </c>
      <c r="L13" s="1">
        <v>8</v>
      </c>
      <c r="M13" s="1">
        <v>57</v>
      </c>
      <c r="N13" s="1">
        <v>4</v>
      </c>
      <c r="O13" s="1">
        <v>56</v>
      </c>
      <c r="P13" s="1">
        <v>0</v>
      </c>
      <c r="Q13" s="1">
        <v>54</v>
      </c>
      <c r="R13" s="1">
        <v>8</v>
      </c>
      <c r="S13" s="1">
        <v>54</v>
      </c>
      <c r="T13" s="1">
        <v>8</v>
      </c>
      <c r="U13" s="1">
        <v>53</v>
      </c>
      <c r="V13" s="1">
        <v>4</v>
      </c>
    </row>
    <row r="14" spans="2:27" hidden="1" x14ac:dyDescent="0.25">
      <c r="B14" s="1" t="s">
        <v>4</v>
      </c>
      <c r="C14" s="1">
        <f>$F$31</f>
        <v>25</v>
      </c>
      <c r="D14" s="1">
        <f>$G$31</f>
        <v>25</v>
      </c>
      <c r="H14" s="1">
        <v>1944</v>
      </c>
      <c r="I14" s="1">
        <v>61</v>
      </c>
      <c r="J14" s="1">
        <v>6</v>
      </c>
      <c r="K14" s="1">
        <v>59</v>
      </c>
      <c r="L14" s="1">
        <v>0</v>
      </c>
      <c r="M14" s="1">
        <v>57</v>
      </c>
      <c r="N14" s="1">
        <v>8</v>
      </c>
      <c r="O14" s="1">
        <v>56</v>
      </c>
      <c r="P14" s="1">
        <v>4</v>
      </c>
      <c r="Q14" s="1">
        <v>55</v>
      </c>
      <c r="R14" s="1">
        <v>0</v>
      </c>
      <c r="S14" s="1">
        <v>55</v>
      </c>
      <c r="T14" s="1">
        <v>0</v>
      </c>
      <c r="U14" s="1">
        <v>53</v>
      </c>
      <c r="V14" s="1">
        <v>8</v>
      </c>
      <c r="Y14" s="1" t="s">
        <v>42</v>
      </c>
      <c r="Z14" s="1" t="s">
        <v>43</v>
      </c>
      <c r="AA14" s="1" t="s">
        <v>44</v>
      </c>
    </row>
    <row r="15" spans="2:27" hidden="1" x14ac:dyDescent="0.25">
      <c r="B15" s="1" t="s">
        <v>5</v>
      </c>
      <c r="C15" s="1">
        <f>F32</f>
        <v>15</v>
      </c>
      <c r="E15" s="1" t="s">
        <v>16</v>
      </c>
      <c r="F15" s="1" cm="1">
        <f t="array" ref="F15">INDEX(VěkováTabulka,$F$13,F$10)</f>
        <v>57</v>
      </c>
      <c r="G15" s="1" cm="1">
        <f t="array" ref="G15">INDEX(VěkováTabulka,$F$13,1)</f>
        <v>60</v>
      </c>
      <c r="H15" s="1">
        <v>1945</v>
      </c>
      <c r="I15" s="1">
        <v>61</v>
      </c>
      <c r="J15" s="1">
        <v>8</v>
      </c>
      <c r="K15" s="1">
        <v>59</v>
      </c>
      <c r="L15" s="1">
        <v>4</v>
      </c>
      <c r="M15" s="1">
        <v>58</v>
      </c>
      <c r="N15" s="1">
        <v>0</v>
      </c>
      <c r="O15" s="1">
        <v>56</v>
      </c>
      <c r="P15" s="1">
        <v>8</v>
      </c>
      <c r="Q15" s="1">
        <v>55</v>
      </c>
      <c r="R15" s="1">
        <v>4</v>
      </c>
      <c r="S15" s="1">
        <v>55</v>
      </c>
      <c r="T15" s="1">
        <v>4</v>
      </c>
      <c r="U15" s="1">
        <v>54</v>
      </c>
      <c r="V15" s="1">
        <v>0</v>
      </c>
      <c r="Y15" s="1">
        <v>2009</v>
      </c>
      <c r="Z15" s="1">
        <v>25</v>
      </c>
      <c r="AA15" s="1">
        <v>15</v>
      </c>
    </row>
    <row r="16" spans="2:27" hidden="1" x14ac:dyDescent="0.25">
      <c r="B16" s="1" t="s">
        <v>6</v>
      </c>
      <c r="C16" s="1">
        <f>IF($F$23&lt;$Z$27,$C$14,$AA$27)</f>
        <v>25</v>
      </c>
      <c r="E16" s="1" t="s">
        <v>17</v>
      </c>
      <c r="F16" s="1" cm="1">
        <f t="array" ref="F16">INDEX(VěkováTabulka,$F$13,$F$11)</f>
        <v>0</v>
      </c>
      <c r="G16" s="1" cm="1">
        <f t="array" ref="G16">INDEX(VěkováTabulka,$F$13,2)</f>
        <v>0</v>
      </c>
      <c r="H16" s="1">
        <v>1946</v>
      </c>
      <c r="I16" s="1">
        <v>61</v>
      </c>
      <c r="J16" s="1">
        <v>10</v>
      </c>
      <c r="K16" s="1">
        <v>59</v>
      </c>
      <c r="L16" s="1">
        <v>8</v>
      </c>
      <c r="M16" s="1">
        <v>58</v>
      </c>
      <c r="N16" s="1">
        <v>4</v>
      </c>
      <c r="O16" s="1">
        <v>57</v>
      </c>
      <c r="P16" s="1">
        <v>0</v>
      </c>
      <c r="Q16" s="1">
        <v>55</v>
      </c>
      <c r="R16" s="1">
        <v>8</v>
      </c>
      <c r="S16" s="1">
        <v>55</v>
      </c>
      <c r="T16" s="1">
        <v>8</v>
      </c>
      <c r="U16" s="1">
        <v>54</v>
      </c>
      <c r="V16" s="1">
        <v>4</v>
      </c>
      <c r="Y16" s="1">
        <v>2010</v>
      </c>
      <c r="Z16" s="1">
        <v>26</v>
      </c>
      <c r="AA16" s="1">
        <v>16</v>
      </c>
    </row>
    <row r="17" spans="3:27" hidden="1" x14ac:dyDescent="0.25">
      <c r="H17" s="1">
        <v>1947</v>
      </c>
      <c r="I17" s="1">
        <v>62</v>
      </c>
      <c r="J17" s="1">
        <v>0</v>
      </c>
      <c r="K17" s="1">
        <v>60</v>
      </c>
      <c r="L17" s="1">
        <v>0</v>
      </c>
      <c r="M17" s="1">
        <v>58</v>
      </c>
      <c r="N17" s="1">
        <v>8</v>
      </c>
      <c r="O17" s="1">
        <v>57</v>
      </c>
      <c r="P17" s="1">
        <v>4</v>
      </c>
      <c r="Q17" s="1">
        <v>56</v>
      </c>
      <c r="R17" s="1">
        <v>0</v>
      </c>
      <c r="S17" s="1">
        <v>56</v>
      </c>
      <c r="T17" s="1">
        <v>0</v>
      </c>
      <c r="U17" s="1">
        <v>54</v>
      </c>
      <c r="V17" s="1">
        <v>8</v>
      </c>
      <c r="Y17" s="1">
        <v>2011</v>
      </c>
      <c r="Z17" s="1">
        <v>27</v>
      </c>
      <c r="AA17" s="1">
        <v>17</v>
      </c>
    </row>
    <row r="18" spans="3:27" ht="18.75" hidden="1" x14ac:dyDescent="0.25">
      <c r="C18" s="24" t="str">
        <f ca="1">IF($C$4="","",IF(AND(DAY($C$4)=DAY(TODAY()),MONTH($C$4)=MONTH(TODAY())),"Vše nejlepší k narozeninám!",""))</f>
        <v/>
      </c>
      <c r="D18" s="25"/>
      <c r="E18" s="1" t="s">
        <v>18</v>
      </c>
      <c r="F18" s="13">
        <f>EDATE($C$4,12*$F$15+$F$16)</f>
        <v>20820</v>
      </c>
      <c r="H18" s="1">
        <v>1948</v>
      </c>
      <c r="I18" s="1">
        <v>62</v>
      </c>
      <c r="J18" s="1">
        <v>2</v>
      </c>
      <c r="K18" s="1">
        <v>60</v>
      </c>
      <c r="L18" s="1">
        <v>4</v>
      </c>
      <c r="M18" s="1">
        <v>59</v>
      </c>
      <c r="N18" s="1">
        <v>0</v>
      </c>
      <c r="O18" s="1">
        <v>57</v>
      </c>
      <c r="P18" s="1">
        <v>8</v>
      </c>
      <c r="Q18" s="1">
        <v>56</v>
      </c>
      <c r="R18" s="1">
        <v>4</v>
      </c>
      <c r="S18" s="1">
        <v>56</v>
      </c>
      <c r="T18" s="1">
        <v>4</v>
      </c>
      <c r="U18" s="1">
        <v>55</v>
      </c>
      <c r="V18" s="1">
        <v>0</v>
      </c>
      <c r="Y18" s="1">
        <v>2012</v>
      </c>
      <c r="Z18" s="1">
        <v>28</v>
      </c>
      <c r="AA18" s="1">
        <v>18</v>
      </c>
    </row>
    <row r="19" spans="3:27" hidden="1" x14ac:dyDescent="0.25">
      <c r="C19" s="8"/>
      <c r="H19" s="1">
        <v>1949</v>
      </c>
      <c r="I19" s="1">
        <v>62</v>
      </c>
      <c r="J19" s="1">
        <v>4</v>
      </c>
      <c r="K19" s="1">
        <v>60</v>
      </c>
      <c r="L19" s="1">
        <v>8</v>
      </c>
      <c r="M19" s="1">
        <v>59</v>
      </c>
      <c r="N19" s="1">
        <v>4</v>
      </c>
      <c r="O19" s="1">
        <v>58</v>
      </c>
      <c r="P19" s="1">
        <v>0</v>
      </c>
      <c r="Q19" s="1">
        <v>56</v>
      </c>
      <c r="R19" s="1">
        <v>8</v>
      </c>
      <c r="S19" s="1">
        <v>56</v>
      </c>
      <c r="T19" s="1">
        <v>8</v>
      </c>
      <c r="U19" s="1">
        <v>55</v>
      </c>
      <c r="V19" s="1">
        <v>4</v>
      </c>
      <c r="Y19" s="1">
        <v>2013</v>
      </c>
      <c r="Z19" s="1">
        <v>29</v>
      </c>
      <c r="AA19" s="1">
        <v>19</v>
      </c>
    </row>
    <row r="20" spans="3:27" hidden="1" x14ac:dyDescent="0.25">
      <c r="E20" s="1" t="s">
        <v>20</v>
      </c>
      <c r="F20" s="1">
        <f>MIN(RokyTabulky)</f>
        <v>1935</v>
      </c>
      <c r="H20" s="1">
        <v>1950</v>
      </c>
      <c r="I20" s="1">
        <v>62</v>
      </c>
      <c r="J20" s="1">
        <v>6</v>
      </c>
      <c r="K20" s="1">
        <v>61</v>
      </c>
      <c r="L20" s="1">
        <v>0</v>
      </c>
      <c r="M20" s="1">
        <v>59</v>
      </c>
      <c r="N20" s="1">
        <v>8</v>
      </c>
      <c r="O20" s="1">
        <v>58</v>
      </c>
      <c r="P20" s="1">
        <v>4</v>
      </c>
      <c r="Q20" s="1">
        <v>57</v>
      </c>
      <c r="R20" s="1">
        <v>0</v>
      </c>
      <c r="S20" s="1">
        <v>57</v>
      </c>
      <c r="T20" s="1">
        <v>0</v>
      </c>
      <c r="U20" s="1">
        <v>55</v>
      </c>
      <c r="V20" s="1">
        <v>8</v>
      </c>
      <c r="Y20" s="1">
        <v>2014</v>
      </c>
      <c r="Z20" s="1">
        <v>30</v>
      </c>
      <c r="AA20" s="1">
        <v>20</v>
      </c>
    </row>
    <row r="21" spans="3:27" hidden="1" x14ac:dyDescent="0.25">
      <c r="F21" s="1">
        <f>MAX(RokyTabulky)</f>
        <v>1989</v>
      </c>
      <c r="H21" s="1">
        <v>1951</v>
      </c>
      <c r="I21" s="1">
        <v>62</v>
      </c>
      <c r="J21" s="1">
        <v>8</v>
      </c>
      <c r="K21" s="1">
        <v>61</v>
      </c>
      <c r="L21" s="1">
        <v>4</v>
      </c>
      <c r="M21" s="1">
        <v>60</v>
      </c>
      <c r="N21" s="1">
        <v>0</v>
      </c>
      <c r="O21" s="1">
        <v>58</v>
      </c>
      <c r="P21" s="1">
        <v>8</v>
      </c>
      <c r="Q21" s="1">
        <v>57</v>
      </c>
      <c r="R21" s="1">
        <v>4</v>
      </c>
      <c r="S21" s="1">
        <v>57</v>
      </c>
      <c r="T21" s="1">
        <v>4</v>
      </c>
      <c r="U21" s="1">
        <v>56</v>
      </c>
      <c r="V21" s="1">
        <v>0</v>
      </c>
      <c r="Y21" s="1">
        <v>2015</v>
      </c>
      <c r="Z21" s="1">
        <v>31</v>
      </c>
      <c r="AA21" s="1">
        <v>20</v>
      </c>
    </row>
    <row r="22" spans="3:27" hidden="1" x14ac:dyDescent="0.25">
      <c r="H22" s="1">
        <v>1952</v>
      </c>
      <c r="I22" s="1">
        <v>62</v>
      </c>
      <c r="J22" s="1">
        <v>10</v>
      </c>
      <c r="K22" s="1">
        <v>61</v>
      </c>
      <c r="L22" s="1">
        <v>8</v>
      </c>
      <c r="M22" s="1">
        <v>60</v>
      </c>
      <c r="N22" s="1">
        <v>4</v>
      </c>
      <c r="O22" s="1">
        <v>59</v>
      </c>
      <c r="P22" s="1">
        <v>0</v>
      </c>
      <c r="Q22" s="1">
        <v>57</v>
      </c>
      <c r="R22" s="1">
        <v>8</v>
      </c>
      <c r="S22" s="1">
        <v>57</v>
      </c>
      <c r="T22" s="1">
        <v>8</v>
      </c>
      <c r="U22" s="1">
        <v>56</v>
      </c>
      <c r="V22" s="1">
        <v>4</v>
      </c>
      <c r="Y22" s="1">
        <v>2016</v>
      </c>
      <c r="Z22" s="1">
        <v>32</v>
      </c>
      <c r="AA22" s="1">
        <v>20</v>
      </c>
    </row>
    <row r="23" spans="3:27" hidden="1" x14ac:dyDescent="0.25">
      <c r="E23" s="1" t="s">
        <v>21</v>
      </c>
      <c r="F23" s="8">
        <f>EDATE($F$18,-36)</f>
        <v>19724</v>
      </c>
      <c r="H23" s="1">
        <v>1953</v>
      </c>
      <c r="I23" s="1">
        <v>63</v>
      </c>
      <c r="J23" s="1">
        <v>0</v>
      </c>
      <c r="K23" s="1">
        <v>62</v>
      </c>
      <c r="L23" s="1">
        <v>0</v>
      </c>
      <c r="M23" s="1">
        <v>60</v>
      </c>
      <c r="N23" s="1">
        <v>8</v>
      </c>
      <c r="O23" s="1">
        <v>59</v>
      </c>
      <c r="P23" s="1">
        <v>4</v>
      </c>
      <c r="Q23" s="1">
        <v>58</v>
      </c>
      <c r="R23" s="1">
        <v>0</v>
      </c>
      <c r="S23" s="1">
        <v>58</v>
      </c>
      <c r="T23" s="1">
        <v>0</v>
      </c>
      <c r="U23" s="1">
        <v>56</v>
      </c>
      <c r="V23" s="1">
        <v>8</v>
      </c>
      <c r="Y23" s="1">
        <v>2017</v>
      </c>
      <c r="Z23" s="1">
        <v>33</v>
      </c>
      <c r="AA23" s="1">
        <v>20</v>
      </c>
    </row>
    <row r="24" spans="3:27" hidden="1" x14ac:dyDescent="0.25">
      <c r="E24" s="1" t="s">
        <v>22</v>
      </c>
      <c r="F24" s="8">
        <f>EDATE($C$4,60*12)</f>
        <v>21915</v>
      </c>
      <c r="H24" s="1">
        <v>1954</v>
      </c>
      <c r="I24" s="1">
        <v>63</v>
      </c>
      <c r="J24" s="1">
        <v>2</v>
      </c>
      <c r="K24" s="1">
        <v>62</v>
      </c>
      <c r="L24" s="1">
        <v>4</v>
      </c>
      <c r="M24" s="1">
        <v>61</v>
      </c>
      <c r="N24" s="1">
        <v>0</v>
      </c>
      <c r="O24" s="1">
        <v>59</v>
      </c>
      <c r="P24" s="1">
        <v>8</v>
      </c>
      <c r="Q24" s="1">
        <v>58</v>
      </c>
      <c r="R24" s="1">
        <v>4</v>
      </c>
      <c r="S24" s="1">
        <v>58</v>
      </c>
      <c r="T24" s="1">
        <v>4</v>
      </c>
      <c r="U24" s="1">
        <v>57</v>
      </c>
      <c r="V24" s="1">
        <v>0</v>
      </c>
      <c r="Y24" s="1">
        <v>2018</v>
      </c>
      <c r="Z24" s="1">
        <v>34</v>
      </c>
      <c r="AA24" s="1">
        <v>20</v>
      </c>
    </row>
    <row r="25" spans="3:27" hidden="1" x14ac:dyDescent="0.25">
      <c r="H25" s="1">
        <v>1955</v>
      </c>
      <c r="I25" s="1">
        <v>63</v>
      </c>
      <c r="J25" s="1">
        <v>4</v>
      </c>
      <c r="K25" s="1">
        <v>62</v>
      </c>
      <c r="L25" s="1">
        <v>8</v>
      </c>
      <c r="M25" s="1">
        <v>61</v>
      </c>
      <c r="N25" s="1">
        <v>4</v>
      </c>
      <c r="O25" s="1">
        <v>60</v>
      </c>
      <c r="P25" s="1">
        <v>0</v>
      </c>
      <c r="Q25" s="1">
        <v>58</v>
      </c>
      <c r="R25" s="1">
        <v>8</v>
      </c>
      <c r="S25" s="1">
        <v>58</v>
      </c>
      <c r="T25" s="1">
        <v>8</v>
      </c>
      <c r="U25" s="1">
        <v>57</v>
      </c>
      <c r="V25" s="1">
        <v>4</v>
      </c>
      <c r="Y25" s="1">
        <v>2019</v>
      </c>
      <c r="Z25" s="1">
        <v>35</v>
      </c>
      <c r="AA25" s="1">
        <v>20</v>
      </c>
    </row>
    <row r="26" spans="3:27" hidden="1" x14ac:dyDescent="0.25">
      <c r="E26" s="1" t="s">
        <v>23</v>
      </c>
      <c r="F26" s="8">
        <v>45200</v>
      </c>
      <c r="H26" s="1">
        <v>1956</v>
      </c>
      <c r="I26" s="1">
        <v>63</v>
      </c>
      <c r="J26" s="1">
        <v>6</v>
      </c>
      <c r="K26" s="1">
        <v>63</v>
      </c>
      <c r="L26" s="1">
        <v>2</v>
      </c>
      <c r="M26" s="1">
        <v>61</v>
      </c>
      <c r="N26" s="1">
        <v>8</v>
      </c>
      <c r="O26" s="1">
        <v>60</v>
      </c>
      <c r="P26" s="1">
        <v>4</v>
      </c>
      <c r="Q26" s="1">
        <v>59</v>
      </c>
      <c r="R26" s="1">
        <v>0</v>
      </c>
      <c r="S26" s="1">
        <v>59</v>
      </c>
      <c r="T26" s="1">
        <v>0</v>
      </c>
      <c r="U26" s="1">
        <v>57</v>
      </c>
      <c r="V26" s="1">
        <v>8</v>
      </c>
    </row>
    <row r="27" spans="3:27" hidden="1" x14ac:dyDescent="0.25">
      <c r="E27" s="1" t="s">
        <v>24</v>
      </c>
      <c r="F27" s="1">
        <f>IF(F$24&lt;$F$26,1,0)</f>
        <v>1</v>
      </c>
      <c r="H27" s="1">
        <v>1957</v>
      </c>
      <c r="I27" s="1">
        <v>63</v>
      </c>
      <c r="J27" s="1">
        <v>8</v>
      </c>
      <c r="K27" s="1">
        <v>63</v>
      </c>
      <c r="L27" s="1">
        <v>8</v>
      </c>
      <c r="M27" s="1">
        <v>62</v>
      </c>
      <c r="N27" s="1">
        <v>2</v>
      </c>
      <c r="O27" s="1">
        <v>60</v>
      </c>
      <c r="P27" s="1">
        <v>8</v>
      </c>
      <c r="Q27" s="1">
        <v>59</v>
      </c>
      <c r="R27" s="1">
        <v>4</v>
      </c>
      <c r="S27" s="1">
        <v>59</v>
      </c>
      <c r="T27" s="1">
        <v>4</v>
      </c>
      <c r="U27" s="1">
        <v>58</v>
      </c>
      <c r="V27" s="1">
        <v>0</v>
      </c>
      <c r="Y27" s="1" t="s">
        <v>45</v>
      </c>
      <c r="Z27" s="8">
        <v>45566</v>
      </c>
      <c r="AA27" s="1">
        <v>40</v>
      </c>
    </row>
    <row r="28" spans="3:27" hidden="1" x14ac:dyDescent="0.25">
      <c r="E28" s="1" t="s">
        <v>25</v>
      </c>
      <c r="F28" s="1">
        <f>IF(F$23&lt;$F$26,1,0)</f>
        <v>1</v>
      </c>
      <c r="H28" s="1">
        <v>1958</v>
      </c>
      <c r="I28" s="1">
        <v>63</v>
      </c>
      <c r="J28" s="1">
        <v>10</v>
      </c>
      <c r="K28" s="1">
        <v>63</v>
      </c>
      <c r="L28" s="1">
        <v>10</v>
      </c>
      <c r="M28" s="1">
        <v>62</v>
      </c>
      <c r="N28" s="1">
        <v>8</v>
      </c>
      <c r="O28" s="1">
        <v>61</v>
      </c>
      <c r="P28" s="1">
        <v>2</v>
      </c>
      <c r="Q28" s="1">
        <v>59</v>
      </c>
      <c r="R28" s="1">
        <v>8</v>
      </c>
      <c r="S28" s="1">
        <v>59</v>
      </c>
      <c r="T28" s="1">
        <v>8</v>
      </c>
      <c r="U28" s="1">
        <v>58</v>
      </c>
      <c r="V28" s="1">
        <v>4</v>
      </c>
    </row>
    <row r="29" spans="3:27" hidden="1" x14ac:dyDescent="0.25">
      <c r="E29" s="1" t="s">
        <v>26</v>
      </c>
      <c r="F29" s="1">
        <f>SUM(F27:F28)</f>
        <v>2</v>
      </c>
      <c r="H29" s="1">
        <v>1959</v>
      </c>
      <c r="I29" s="1">
        <v>64</v>
      </c>
      <c r="J29" s="1">
        <v>0</v>
      </c>
      <c r="K29" s="1">
        <v>64</v>
      </c>
      <c r="L29" s="1">
        <v>0</v>
      </c>
      <c r="M29" s="1">
        <v>63</v>
      </c>
      <c r="N29" s="1">
        <v>2</v>
      </c>
      <c r="O29" s="1">
        <v>61</v>
      </c>
      <c r="P29" s="1">
        <v>8</v>
      </c>
      <c r="Q29" s="1">
        <v>60</v>
      </c>
      <c r="R29" s="1">
        <v>2</v>
      </c>
      <c r="S29" s="1">
        <v>60</v>
      </c>
      <c r="T29" s="1">
        <v>2</v>
      </c>
      <c r="U29" s="1">
        <v>58</v>
      </c>
      <c r="V29" s="1">
        <v>8</v>
      </c>
    </row>
    <row r="30" spans="3:27" hidden="1" x14ac:dyDescent="0.25">
      <c r="H30" s="1">
        <v>1960</v>
      </c>
      <c r="I30" s="1">
        <v>64</v>
      </c>
      <c r="J30" s="1">
        <v>2</v>
      </c>
      <c r="K30" s="1">
        <v>64</v>
      </c>
      <c r="L30" s="1">
        <v>2</v>
      </c>
      <c r="M30" s="1">
        <v>63</v>
      </c>
      <c r="N30" s="1">
        <v>8</v>
      </c>
      <c r="O30" s="1">
        <v>62</v>
      </c>
      <c r="P30" s="1">
        <v>2</v>
      </c>
      <c r="Q30" s="1">
        <v>60</v>
      </c>
      <c r="R30" s="1">
        <v>8</v>
      </c>
      <c r="S30" s="1">
        <v>60</v>
      </c>
      <c r="T30" s="1">
        <v>8</v>
      </c>
      <c r="U30" s="1">
        <v>59</v>
      </c>
      <c r="V30" s="1">
        <v>2</v>
      </c>
    </row>
    <row r="31" spans="3:27" hidden="1" x14ac:dyDescent="0.25">
      <c r="E31" s="1" t="s">
        <v>46</v>
      </c>
      <c r="F31" s="1">
        <f>IF(YEAR($F$18)&lt;$F$40,25,VLOOKUP(YEAR($F$18),PodmínkyNároku[],2))</f>
        <v>25</v>
      </c>
      <c r="G31" s="1">
        <f>IF(YEAR($G$32)&lt;$F$40,25,VLOOKUP(YEAR($G$32),PodmínkyNároku[],2))</f>
        <v>25</v>
      </c>
      <c r="H31" s="1">
        <v>1961</v>
      </c>
      <c r="I31" s="1">
        <v>64</v>
      </c>
      <c r="J31" s="1">
        <v>4</v>
      </c>
      <c r="K31" s="1">
        <v>64</v>
      </c>
      <c r="L31" s="1">
        <v>4</v>
      </c>
      <c r="M31" s="1">
        <v>64</v>
      </c>
      <c r="N31" s="1">
        <v>2</v>
      </c>
      <c r="O31" s="1">
        <v>62</v>
      </c>
      <c r="P31" s="1">
        <v>8</v>
      </c>
      <c r="Q31" s="1">
        <v>61</v>
      </c>
      <c r="R31" s="1">
        <v>2</v>
      </c>
      <c r="S31" s="1">
        <v>61</v>
      </c>
      <c r="T31" s="1">
        <v>2</v>
      </c>
      <c r="U31" s="1">
        <v>59</v>
      </c>
      <c r="V31" s="1">
        <v>8</v>
      </c>
    </row>
    <row r="32" spans="3:27" hidden="1" x14ac:dyDescent="0.25">
      <c r="E32" s="1" t="s">
        <v>48</v>
      </c>
      <c r="F32" s="1">
        <f>IF(YEAR($G$32)&lt;$F$40,15,VLOOKUP(YEAR($G$32),PodmínkyNároku[],3))</f>
        <v>15</v>
      </c>
      <c r="G32" s="13">
        <f>IF(YEAR($C$4)&lt;1945,EDATE($C$4,65*12),IF($F$44&lt;$F$46,$F$44,MAX($F$46,$F$45)))</f>
        <v>23742</v>
      </c>
      <c r="H32" s="1">
        <v>1962</v>
      </c>
      <c r="I32" s="1">
        <v>64</v>
      </c>
      <c r="J32" s="1">
        <v>6</v>
      </c>
      <c r="K32" s="1">
        <v>64</v>
      </c>
      <c r="L32" s="1">
        <v>6</v>
      </c>
      <c r="M32" s="1">
        <v>64</v>
      </c>
      <c r="N32" s="1">
        <v>6</v>
      </c>
      <c r="O32" s="1">
        <v>63</v>
      </c>
      <c r="P32" s="1">
        <v>2</v>
      </c>
      <c r="Q32" s="1">
        <v>61</v>
      </c>
      <c r="R32" s="1">
        <v>8</v>
      </c>
      <c r="S32" s="1">
        <v>61</v>
      </c>
      <c r="T32" s="1">
        <v>8</v>
      </c>
      <c r="U32" s="1">
        <v>60</v>
      </c>
      <c r="V32" s="1">
        <v>2</v>
      </c>
    </row>
    <row r="33" spans="5:22" hidden="1" x14ac:dyDescent="0.25">
      <c r="H33" s="1">
        <v>1963</v>
      </c>
      <c r="I33" s="1">
        <v>64</v>
      </c>
      <c r="J33" s="1">
        <v>8</v>
      </c>
      <c r="K33" s="1">
        <v>64</v>
      </c>
      <c r="L33" s="1">
        <v>8</v>
      </c>
      <c r="M33" s="1">
        <v>64</v>
      </c>
      <c r="N33" s="1">
        <v>8</v>
      </c>
      <c r="O33" s="1">
        <v>63</v>
      </c>
      <c r="P33" s="1">
        <v>8</v>
      </c>
      <c r="Q33" s="1">
        <v>62</v>
      </c>
      <c r="R33" s="1">
        <v>2</v>
      </c>
      <c r="S33" s="1">
        <v>62</v>
      </c>
      <c r="T33" s="1">
        <v>2</v>
      </c>
      <c r="U33" s="1">
        <v>60</v>
      </c>
      <c r="V33" s="1">
        <v>8</v>
      </c>
    </row>
    <row r="34" spans="5:22" hidden="1" x14ac:dyDescent="0.25">
      <c r="E34" s="1" t="s">
        <v>49</v>
      </c>
      <c r="F34" s="1">
        <f>IF(F15&lt;63,1,0)</f>
        <v>1</v>
      </c>
      <c r="H34" s="1">
        <v>1964</v>
      </c>
      <c r="I34" s="1">
        <v>64</v>
      </c>
      <c r="J34" s="1">
        <v>10</v>
      </c>
      <c r="K34" s="1">
        <v>64</v>
      </c>
      <c r="L34" s="1">
        <v>10</v>
      </c>
      <c r="M34" s="1">
        <v>64</v>
      </c>
      <c r="N34" s="1">
        <v>10</v>
      </c>
      <c r="O34" s="1">
        <v>64</v>
      </c>
      <c r="P34" s="1">
        <v>2</v>
      </c>
      <c r="Q34" s="1">
        <v>62</v>
      </c>
      <c r="R34" s="1">
        <v>8</v>
      </c>
      <c r="S34" s="1">
        <v>62</v>
      </c>
      <c r="T34" s="1">
        <v>8</v>
      </c>
      <c r="U34" s="1">
        <v>61</v>
      </c>
      <c r="V34" s="1">
        <v>2</v>
      </c>
    </row>
    <row r="35" spans="5:22" hidden="1" x14ac:dyDescent="0.25">
      <c r="H35" s="1">
        <v>1965</v>
      </c>
      <c r="I35" s="1">
        <v>65</v>
      </c>
      <c r="J35" s="1">
        <v>0</v>
      </c>
      <c r="K35" s="1">
        <v>65</v>
      </c>
      <c r="L35" s="1">
        <v>0</v>
      </c>
      <c r="M35" s="1">
        <v>65</v>
      </c>
      <c r="N35" s="1">
        <v>0</v>
      </c>
      <c r="O35" s="1">
        <v>64</v>
      </c>
      <c r="P35" s="1">
        <v>8</v>
      </c>
      <c r="Q35" s="1">
        <v>63</v>
      </c>
      <c r="R35" s="1">
        <v>2</v>
      </c>
      <c r="S35" s="1">
        <v>63</v>
      </c>
      <c r="T35" s="1">
        <v>2</v>
      </c>
      <c r="U35" s="1">
        <v>61</v>
      </c>
      <c r="V35" s="1">
        <v>8</v>
      </c>
    </row>
    <row r="36" spans="5:22" hidden="1" x14ac:dyDescent="0.25">
      <c r="E36" s="1" t="s">
        <v>50</v>
      </c>
      <c r="F36" s="8">
        <f>IF(F23&lt;=EDATE(F26,12)*MIN(F23:F24),F23)</f>
        <v>19724</v>
      </c>
      <c r="H36" s="1">
        <v>1966</v>
      </c>
      <c r="I36" s="1">
        <v>65</v>
      </c>
      <c r="J36" s="1">
        <v>1</v>
      </c>
      <c r="K36" s="1">
        <v>65</v>
      </c>
      <c r="L36" s="1">
        <v>1</v>
      </c>
      <c r="M36" s="1">
        <v>65</v>
      </c>
      <c r="N36" s="1">
        <v>1</v>
      </c>
      <c r="O36" s="1">
        <v>65</v>
      </c>
      <c r="P36" s="1">
        <v>1</v>
      </c>
      <c r="Q36" s="1">
        <v>63</v>
      </c>
      <c r="R36" s="1">
        <v>8</v>
      </c>
      <c r="S36" s="1">
        <v>63</v>
      </c>
      <c r="T36" s="1">
        <v>8</v>
      </c>
      <c r="U36" s="1">
        <v>62</v>
      </c>
      <c r="V36" s="1">
        <v>2</v>
      </c>
    </row>
    <row r="37" spans="5:22" hidden="1" x14ac:dyDescent="0.25">
      <c r="H37" s="1">
        <v>1967</v>
      </c>
      <c r="I37" s="1">
        <v>65</v>
      </c>
      <c r="J37" s="1">
        <v>2</v>
      </c>
      <c r="K37" s="1">
        <v>65</v>
      </c>
      <c r="L37" s="1">
        <v>2</v>
      </c>
      <c r="M37" s="1">
        <v>65</v>
      </c>
      <c r="N37" s="1">
        <v>2</v>
      </c>
      <c r="O37" s="1">
        <v>65</v>
      </c>
      <c r="P37" s="1">
        <v>2</v>
      </c>
      <c r="Q37" s="1">
        <v>64</v>
      </c>
      <c r="R37" s="1">
        <v>2</v>
      </c>
      <c r="S37" s="1">
        <v>64</v>
      </c>
      <c r="T37" s="1">
        <v>2</v>
      </c>
      <c r="U37" s="1">
        <v>62</v>
      </c>
      <c r="V37" s="1">
        <v>8</v>
      </c>
    </row>
    <row r="38" spans="5:22" hidden="1" x14ac:dyDescent="0.25">
      <c r="H38" s="1">
        <v>1968</v>
      </c>
      <c r="I38" s="1">
        <v>65</v>
      </c>
      <c r="J38" s="1">
        <v>3</v>
      </c>
      <c r="K38" s="1">
        <v>65</v>
      </c>
      <c r="L38" s="1">
        <v>3</v>
      </c>
      <c r="M38" s="1">
        <v>65</v>
      </c>
      <c r="N38" s="1">
        <v>3</v>
      </c>
      <c r="O38" s="1">
        <v>65</v>
      </c>
      <c r="P38" s="1">
        <v>3</v>
      </c>
      <c r="Q38" s="1">
        <v>64</v>
      </c>
      <c r="R38" s="1">
        <v>8</v>
      </c>
      <c r="S38" s="1">
        <v>64</v>
      </c>
      <c r="T38" s="1">
        <v>8</v>
      </c>
      <c r="U38" s="1">
        <v>63</v>
      </c>
      <c r="V38" s="1">
        <v>2</v>
      </c>
    </row>
    <row r="39" spans="5:22" hidden="1" x14ac:dyDescent="0.25">
      <c r="H39" s="1">
        <v>1969</v>
      </c>
      <c r="I39" s="1">
        <v>65</v>
      </c>
      <c r="J39" s="1">
        <v>4</v>
      </c>
      <c r="K39" s="1">
        <v>65</v>
      </c>
      <c r="L39" s="1">
        <v>4</v>
      </c>
      <c r="M39" s="1">
        <v>65</v>
      </c>
      <c r="N39" s="1">
        <v>4</v>
      </c>
      <c r="O39" s="1">
        <v>65</v>
      </c>
      <c r="P39" s="1">
        <v>4</v>
      </c>
      <c r="Q39" s="1">
        <v>65</v>
      </c>
      <c r="R39" s="1">
        <v>0</v>
      </c>
      <c r="S39" s="1">
        <v>65</v>
      </c>
      <c r="T39" s="1">
        <v>0</v>
      </c>
      <c r="U39" s="1">
        <v>63</v>
      </c>
      <c r="V39" s="1">
        <v>8</v>
      </c>
    </row>
    <row r="40" spans="5:22" hidden="1" x14ac:dyDescent="0.25">
      <c r="E40" s="1" t="s">
        <v>47</v>
      </c>
      <c r="F40" s="1">
        <f>MIN(PodmínkyNároku[Rok-DV])</f>
        <v>2009</v>
      </c>
      <c r="H40" s="1">
        <v>1970</v>
      </c>
      <c r="I40" s="1">
        <v>65</v>
      </c>
      <c r="J40" s="1">
        <v>5</v>
      </c>
      <c r="K40" s="1">
        <v>65</v>
      </c>
      <c r="L40" s="1">
        <v>5</v>
      </c>
      <c r="M40" s="1">
        <v>65</v>
      </c>
      <c r="N40" s="1">
        <v>5</v>
      </c>
      <c r="O40" s="1">
        <v>65</v>
      </c>
      <c r="P40" s="1">
        <v>5</v>
      </c>
      <c r="Q40" s="1">
        <v>65</v>
      </c>
      <c r="R40" s="1">
        <v>5</v>
      </c>
      <c r="S40" s="1">
        <v>65</v>
      </c>
      <c r="T40" s="1">
        <v>5</v>
      </c>
      <c r="U40" s="1">
        <v>64</v>
      </c>
      <c r="V40" s="1">
        <v>2</v>
      </c>
    </row>
    <row r="41" spans="5:22" hidden="1" x14ac:dyDescent="0.25">
      <c r="F41" s="1">
        <f>MAX(PodmínkyNároku[Rok-DV])</f>
        <v>2019</v>
      </c>
      <c r="H41" s="1">
        <v>1971</v>
      </c>
      <c r="I41" s="1">
        <v>65</v>
      </c>
      <c r="J41" s="1">
        <v>6</v>
      </c>
      <c r="K41" s="1">
        <v>65</v>
      </c>
      <c r="L41" s="1">
        <v>6</v>
      </c>
      <c r="M41" s="1">
        <v>65</v>
      </c>
      <c r="N41" s="1">
        <v>6</v>
      </c>
      <c r="O41" s="1">
        <v>65</v>
      </c>
      <c r="P41" s="1">
        <v>6</v>
      </c>
      <c r="Q41" s="1">
        <v>65</v>
      </c>
      <c r="R41" s="1">
        <v>6</v>
      </c>
      <c r="S41" s="1">
        <v>65</v>
      </c>
      <c r="T41" s="1">
        <v>6</v>
      </c>
      <c r="U41" s="1">
        <v>64</v>
      </c>
      <c r="V41" s="1">
        <v>8</v>
      </c>
    </row>
    <row r="42" spans="5:22" hidden="1" x14ac:dyDescent="0.25">
      <c r="H42" s="1">
        <v>1972</v>
      </c>
      <c r="I42" s="1">
        <v>65</v>
      </c>
      <c r="J42" s="1">
        <v>7</v>
      </c>
      <c r="K42" s="1">
        <v>65</v>
      </c>
      <c r="L42" s="1">
        <v>7</v>
      </c>
      <c r="M42" s="1">
        <v>65</v>
      </c>
      <c r="N42" s="1">
        <v>7</v>
      </c>
      <c r="O42" s="1">
        <v>65</v>
      </c>
      <c r="P42" s="1">
        <v>7</v>
      </c>
      <c r="Q42" s="1">
        <v>65</v>
      </c>
      <c r="R42" s="1">
        <v>7</v>
      </c>
      <c r="S42" s="1">
        <v>65</v>
      </c>
      <c r="T42" s="1">
        <v>7</v>
      </c>
      <c r="U42" s="1">
        <v>65</v>
      </c>
      <c r="V42" s="1">
        <v>2</v>
      </c>
    </row>
    <row r="43" spans="5:22" hidden="1" x14ac:dyDescent="0.25">
      <c r="H43" s="1">
        <v>1973</v>
      </c>
      <c r="I43" s="1">
        <v>65</v>
      </c>
      <c r="J43" s="1">
        <v>8</v>
      </c>
      <c r="K43" s="1">
        <v>65</v>
      </c>
      <c r="L43" s="1">
        <v>8</v>
      </c>
      <c r="M43" s="1">
        <v>65</v>
      </c>
      <c r="N43" s="1">
        <v>8</v>
      </c>
      <c r="O43" s="1">
        <v>65</v>
      </c>
      <c r="P43" s="1">
        <v>8</v>
      </c>
      <c r="Q43" s="1">
        <v>65</v>
      </c>
      <c r="R43" s="1">
        <v>8</v>
      </c>
      <c r="S43" s="1">
        <v>65</v>
      </c>
      <c r="T43" s="1">
        <v>8</v>
      </c>
      <c r="U43" s="1">
        <v>65</v>
      </c>
      <c r="V43" s="1">
        <v>8</v>
      </c>
    </row>
    <row r="44" spans="5:22" hidden="1" x14ac:dyDescent="0.25">
      <c r="E44" s="1" t="s">
        <v>51</v>
      </c>
      <c r="F44" s="13">
        <f>EDATE($C$4,12*($G$15+5)+$G$16)</f>
        <v>23742</v>
      </c>
      <c r="H44" s="1">
        <v>1974</v>
      </c>
      <c r="I44" s="1">
        <v>65</v>
      </c>
      <c r="J44" s="1">
        <v>9</v>
      </c>
      <c r="K44" s="1">
        <v>65</v>
      </c>
      <c r="L44" s="1">
        <v>9</v>
      </c>
      <c r="M44" s="1">
        <v>65</v>
      </c>
      <c r="N44" s="1">
        <v>9</v>
      </c>
      <c r="O44" s="1">
        <v>65</v>
      </c>
      <c r="P44" s="1">
        <v>9</v>
      </c>
      <c r="Q44" s="1">
        <v>65</v>
      </c>
      <c r="R44" s="1">
        <v>9</v>
      </c>
      <c r="S44" s="1">
        <v>65</v>
      </c>
      <c r="T44" s="1">
        <v>9</v>
      </c>
      <c r="U44" s="1">
        <v>65</v>
      </c>
      <c r="V44" s="1">
        <v>9</v>
      </c>
    </row>
    <row r="45" spans="5:22" hidden="1" x14ac:dyDescent="0.25">
      <c r="E45" s="1" t="s">
        <v>52</v>
      </c>
      <c r="F45" s="8">
        <f>EDATE($C$4,12*($G$15+2)+$G$16)</f>
        <v>22646</v>
      </c>
      <c r="H45" s="1">
        <v>1975</v>
      </c>
      <c r="I45" s="1">
        <v>65</v>
      </c>
      <c r="J45" s="1">
        <v>10</v>
      </c>
      <c r="K45" s="1">
        <v>65</v>
      </c>
      <c r="L45" s="1">
        <v>10</v>
      </c>
      <c r="M45" s="1">
        <v>65</v>
      </c>
      <c r="N45" s="1">
        <v>10</v>
      </c>
      <c r="O45" s="1">
        <v>65</v>
      </c>
      <c r="P45" s="1">
        <v>10</v>
      </c>
      <c r="Q45" s="1">
        <v>65</v>
      </c>
      <c r="R45" s="1">
        <v>10</v>
      </c>
      <c r="S45" s="1">
        <v>65</v>
      </c>
      <c r="T45" s="1">
        <v>10</v>
      </c>
      <c r="U45" s="1">
        <v>65</v>
      </c>
      <c r="V45" s="1">
        <v>10</v>
      </c>
    </row>
    <row r="46" spans="5:22" hidden="1" x14ac:dyDescent="0.25">
      <c r="E46" s="1" t="s">
        <v>53</v>
      </c>
      <c r="F46" s="8">
        <v>45658</v>
      </c>
      <c r="H46" s="1">
        <v>1976</v>
      </c>
      <c r="I46" s="1">
        <v>65</v>
      </c>
      <c r="J46" s="1">
        <v>11</v>
      </c>
      <c r="K46" s="1">
        <v>65</v>
      </c>
      <c r="L46" s="1">
        <v>11</v>
      </c>
      <c r="M46" s="1">
        <v>65</v>
      </c>
      <c r="N46" s="1">
        <v>11</v>
      </c>
      <c r="O46" s="1">
        <v>65</v>
      </c>
      <c r="P46" s="1">
        <v>11</v>
      </c>
      <c r="Q46" s="1">
        <v>65</v>
      </c>
      <c r="R46" s="1">
        <v>11</v>
      </c>
      <c r="S46" s="1">
        <v>65</v>
      </c>
      <c r="T46" s="1">
        <v>11</v>
      </c>
      <c r="U46" s="1">
        <v>65</v>
      </c>
      <c r="V46" s="1">
        <v>11</v>
      </c>
    </row>
    <row r="47" spans="5:22" hidden="1" x14ac:dyDescent="0.25">
      <c r="H47" s="1">
        <v>1977</v>
      </c>
      <c r="I47" s="1">
        <v>66</v>
      </c>
      <c r="J47" s="1">
        <v>0</v>
      </c>
      <c r="K47" s="1">
        <v>66</v>
      </c>
      <c r="L47" s="1">
        <v>0</v>
      </c>
      <c r="M47" s="1">
        <v>66</v>
      </c>
      <c r="N47" s="1">
        <v>0</v>
      </c>
      <c r="O47" s="1">
        <v>66</v>
      </c>
      <c r="P47" s="1">
        <v>0</v>
      </c>
      <c r="Q47" s="1">
        <v>66</v>
      </c>
      <c r="R47" s="1">
        <v>0</v>
      </c>
      <c r="S47" s="1">
        <v>66</v>
      </c>
      <c r="T47" s="1">
        <v>0</v>
      </c>
      <c r="U47" s="1">
        <v>66</v>
      </c>
      <c r="V47" s="1">
        <v>0</v>
      </c>
    </row>
    <row r="48" spans="5:22" hidden="1" x14ac:dyDescent="0.25">
      <c r="H48" s="1">
        <v>1978</v>
      </c>
      <c r="I48" s="1">
        <v>66</v>
      </c>
      <c r="J48" s="1">
        <v>1</v>
      </c>
      <c r="K48" s="1">
        <v>66</v>
      </c>
      <c r="L48" s="1">
        <v>1</v>
      </c>
      <c r="M48" s="1">
        <v>66</v>
      </c>
      <c r="N48" s="1">
        <v>1</v>
      </c>
      <c r="O48" s="1">
        <v>66</v>
      </c>
      <c r="P48" s="1">
        <v>1</v>
      </c>
      <c r="Q48" s="1">
        <v>66</v>
      </c>
      <c r="R48" s="1">
        <v>1</v>
      </c>
      <c r="S48" s="1">
        <v>66</v>
      </c>
      <c r="T48" s="1">
        <v>1</v>
      </c>
      <c r="U48" s="1">
        <v>66</v>
      </c>
      <c r="V48" s="1">
        <v>1</v>
      </c>
    </row>
    <row r="49" spans="3:22" hidden="1" x14ac:dyDescent="0.25">
      <c r="H49" s="1">
        <v>1979</v>
      </c>
      <c r="I49" s="1">
        <v>66</v>
      </c>
      <c r="J49" s="1">
        <v>2</v>
      </c>
      <c r="K49" s="1">
        <v>66</v>
      </c>
      <c r="L49" s="1">
        <v>2</v>
      </c>
      <c r="M49" s="1">
        <v>66</v>
      </c>
      <c r="N49" s="1">
        <v>2</v>
      </c>
      <c r="O49" s="1">
        <v>66</v>
      </c>
      <c r="P49" s="1">
        <v>2</v>
      </c>
      <c r="Q49" s="1">
        <v>66</v>
      </c>
      <c r="R49" s="1">
        <v>2</v>
      </c>
      <c r="S49" s="1">
        <v>66</v>
      </c>
      <c r="T49" s="1">
        <v>2</v>
      </c>
      <c r="U49" s="1">
        <v>66</v>
      </c>
      <c r="V49" s="1">
        <v>2</v>
      </c>
    </row>
    <row r="50" spans="3:22" hidden="1" x14ac:dyDescent="0.25">
      <c r="H50" s="1">
        <v>1980</v>
      </c>
      <c r="I50" s="1">
        <v>66</v>
      </c>
      <c r="J50" s="1">
        <v>3</v>
      </c>
      <c r="K50" s="1">
        <v>66</v>
      </c>
      <c r="L50" s="1">
        <v>3</v>
      </c>
      <c r="M50" s="1">
        <v>66</v>
      </c>
      <c r="N50" s="1">
        <v>3</v>
      </c>
      <c r="O50" s="1">
        <v>66</v>
      </c>
      <c r="P50" s="1">
        <v>3</v>
      </c>
      <c r="Q50" s="1">
        <v>66</v>
      </c>
      <c r="R50" s="1">
        <v>3</v>
      </c>
      <c r="S50" s="1">
        <v>66</v>
      </c>
      <c r="T50" s="1">
        <v>3</v>
      </c>
      <c r="U50" s="1">
        <v>66</v>
      </c>
      <c r="V50" s="1">
        <v>3</v>
      </c>
    </row>
    <row r="51" spans="3:22" hidden="1" x14ac:dyDescent="0.25">
      <c r="H51" s="1">
        <v>1981</v>
      </c>
      <c r="I51" s="1">
        <v>66</v>
      </c>
      <c r="J51" s="1">
        <v>4</v>
      </c>
      <c r="K51" s="1">
        <v>66</v>
      </c>
      <c r="L51" s="1">
        <v>4</v>
      </c>
      <c r="M51" s="1">
        <v>66</v>
      </c>
      <c r="N51" s="1">
        <v>4</v>
      </c>
      <c r="O51" s="1">
        <v>66</v>
      </c>
      <c r="P51" s="1">
        <v>4</v>
      </c>
      <c r="Q51" s="1">
        <v>66</v>
      </c>
      <c r="R51" s="1">
        <v>4</v>
      </c>
      <c r="S51" s="1">
        <v>66</v>
      </c>
      <c r="T51" s="1">
        <v>4</v>
      </c>
      <c r="U51" s="1">
        <v>66</v>
      </c>
      <c r="V51" s="1">
        <v>4</v>
      </c>
    </row>
    <row r="52" spans="3:22" hidden="1" x14ac:dyDescent="0.25">
      <c r="H52" s="1">
        <v>1982</v>
      </c>
      <c r="I52" s="1">
        <v>66</v>
      </c>
      <c r="J52" s="1">
        <v>5</v>
      </c>
      <c r="K52" s="1">
        <v>66</v>
      </c>
      <c r="L52" s="1">
        <v>5</v>
      </c>
      <c r="M52" s="1">
        <v>66</v>
      </c>
      <c r="N52" s="1">
        <v>5</v>
      </c>
      <c r="O52" s="1">
        <v>66</v>
      </c>
      <c r="P52" s="1">
        <v>5</v>
      </c>
      <c r="Q52" s="1">
        <v>66</v>
      </c>
      <c r="R52" s="1">
        <v>5</v>
      </c>
      <c r="S52" s="1">
        <v>66</v>
      </c>
      <c r="T52" s="1">
        <v>5</v>
      </c>
      <c r="U52" s="1">
        <v>66</v>
      </c>
      <c r="V52" s="1">
        <v>5</v>
      </c>
    </row>
    <row r="53" spans="3:22" hidden="1" x14ac:dyDescent="0.25">
      <c r="H53" s="1">
        <v>1983</v>
      </c>
      <c r="I53" s="1">
        <v>66</v>
      </c>
      <c r="J53" s="1">
        <v>6</v>
      </c>
      <c r="K53" s="1">
        <v>66</v>
      </c>
      <c r="L53" s="1">
        <v>6</v>
      </c>
      <c r="M53" s="1">
        <v>66</v>
      </c>
      <c r="N53" s="1">
        <v>6</v>
      </c>
      <c r="O53" s="1">
        <v>66</v>
      </c>
      <c r="P53" s="1">
        <v>6</v>
      </c>
      <c r="Q53" s="1">
        <v>66</v>
      </c>
      <c r="R53" s="1">
        <v>6</v>
      </c>
      <c r="S53" s="1">
        <v>66</v>
      </c>
      <c r="T53" s="1">
        <v>6</v>
      </c>
      <c r="U53" s="1">
        <v>66</v>
      </c>
      <c r="V53" s="1">
        <v>6</v>
      </c>
    </row>
    <row r="54" spans="3:22" hidden="1" x14ac:dyDescent="0.25">
      <c r="H54" s="1">
        <v>1984</v>
      </c>
      <c r="I54" s="1">
        <v>66</v>
      </c>
      <c r="J54" s="1">
        <v>7</v>
      </c>
      <c r="K54" s="1">
        <v>66</v>
      </c>
      <c r="L54" s="1">
        <v>7</v>
      </c>
      <c r="M54" s="1">
        <v>66</v>
      </c>
      <c r="N54" s="1">
        <v>7</v>
      </c>
      <c r="O54" s="1">
        <v>66</v>
      </c>
      <c r="P54" s="1">
        <v>7</v>
      </c>
      <c r="Q54" s="1">
        <v>66</v>
      </c>
      <c r="R54" s="1">
        <v>7</v>
      </c>
      <c r="S54" s="1">
        <v>66</v>
      </c>
      <c r="T54" s="1">
        <v>7</v>
      </c>
      <c r="U54" s="1">
        <v>66</v>
      </c>
      <c r="V54" s="1">
        <v>7</v>
      </c>
    </row>
    <row r="55" spans="3:22" hidden="1" x14ac:dyDescent="0.25">
      <c r="H55" s="1">
        <v>1985</v>
      </c>
      <c r="I55" s="1">
        <v>66</v>
      </c>
      <c r="J55" s="1">
        <v>8</v>
      </c>
      <c r="K55" s="1">
        <v>66</v>
      </c>
      <c r="L55" s="1">
        <v>8</v>
      </c>
      <c r="M55" s="1">
        <v>66</v>
      </c>
      <c r="N55" s="1">
        <v>8</v>
      </c>
      <c r="O55" s="1">
        <v>66</v>
      </c>
      <c r="P55" s="1">
        <v>8</v>
      </c>
      <c r="Q55" s="1">
        <v>66</v>
      </c>
      <c r="R55" s="1">
        <v>8</v>
      </c>
      <c r="S55" s="1">
        <v>66</v>
      </c>
      <c r="T55" s="1">
        <v>8</v>
      </c>
      <c r="U55" s="1">
        <v>66</v>
      </c>
      <c r="V55" s="1">
        <v>8</v>
      </c>
    </row>
    <row r="56" spans="3:22" hidden="1" x14ac:dyDescent="0.25">
      <c r="H56" s="1">
        <v>1986</v>
      </c>
      <c r="I56" s="1">
        <v>66</v>
      </c>
      <c r="J56" s="1">
        <v>9</v>
      </c>
      <c r="K56" s="1">
        <v>66</v>
      </c>
      <c r="L56" s="1">
        <v>9</v>
      </c>
      <c r="M56" s="1">
        <v>66</v>
      </c>
      <c r="N56" s="1">
        <v>9</v>
      </c>
      <c r="O56" s="1">
        <v>66</v>
      </c>
      <c r="P56" s="1">
        <v>9</v>
      </c>
      <c r="Q56" s="1">
        <v>66</v>
      </c>
      <c r="R56" s="1">
        <v>9</v>
      </c>
      <c r="S56" s="1">
        <v>66</v>
      </c>
      <c r="T56" s="1">
        <v>9</v>
      </c>
      <c r="U56" s="1">
        <v>66</v>
      </c>
      <c r="V56" s="1">
        <v>9</v>
      </c>
    </row>
    <row r="57" spans="3:22" hidden="1" x14ac:dyDescent="0.25">
      <c r="H57" s="1">
        <v>1987</v>
      </c>
      <c r="I57" s="1">
        <v>66</v>
      </c>
      <c r="J57" s="1">
        <v>10</v>
      </c>
      <c r="K57" s="1">
        <v>66</v>
      </c>
      <c r="L57" s="1">
        <v>10</v>
      </c>
      <c r="M57" s="1">
        <v>66</v>
      </c>
      <c r="N57" s="1">
        <v>10</v>
      </c>
      <c r="O57" s="1">
        <v>66</v>
      </c>
      <c r="P57" s="1">
        <v>10</v>
      </c>
      <c r="Q57" s="1">
        <v>66</v>
      </c>
      <c r="R57" s="1">
        <v>10</v>
      </c>
      <c r="S57" s="1">
        <v>66</v>
      </c>
      <c r="T57" s="1">
        <v>10</v>
      </c>
      <c r="U57" s="1">
        <v>66</v>
      </c>
      <c r="V57" s="1">
        <v>10</v>
      </c>
    </row>
    <row r="58" spans="3:22" hidden="1" x14ac:dyDescent="0.25">
      <c r="H58" s="1">
        <v>1988</v>
      </c>
      <c r="I58" s="1">
        <v>66</v>
      </c>
      <c r="J58" s="1">
        <v>11</v>
      </c>
      <c r="K58" s="1">
        <v>66</v>
      </c>
      <c r="L58" s="1">
        <v>11</v>
      </c>
      <c r="M58" s="1">
        <v>66</v>
      </c>
      <c r="N58" s="1">
        <v>11</v>
      </c>
      <c r="O58" s="1">
        <v>66</v>
      </c>
      <c r="P58" s="1">
        <v>11</v>
      </c>
      <c r="Q58" s="1">
        <v>66</v>
      </c>
      <c r="R58" s="1">
        <v>11</v>
      </c>
      <c r="S58" s="1">
        <v>66</v>
      </c>
      <c r="T58" s="1">
        <v>11</v>
      </c>
      <c r="U58" s="1">
        <v>66</v>
      </c>
      <c r="V58" s="1">
        <v>11</v>
      </c>
    </row>
    <row r="59" spans="3:22" hidden="1" x14ac:dyDescent="0.25">
      <c r="H59" s="1">
        <v>1989</v>
      </c>
      <c r="I59" s="1">
        <v>67</v>
      </c>
      <c r="J59" s="1">
        <v>0</v>
      </c>
      <c r="K59" s="1">
        <v>67</v>
      </c>
      <c r="L59" s="1">
        <v>0</v>
      </c>
      <c r="M59" s="1">
        <v>67</v>
      </c>
      <c r="N59" s="1">
        <v>0</v>
      </c>
      <c r="O59" s="1">
        <v>67</v>
      </c>
      <c r="P59" s="1">
        <v>0</v>
      </c>
      <c r="Q59" s="1">
        <v>67</v>
      </c>
      <c r="R59" s="1">
        <v>0</v>
      </c>
      <c r="S59" s="1">
        <v>67</v>
      </c>
      <c r="T59" s="1">
        <v>0</v>
      </c>
      <c r="U59" s="1">
        <v>67</v>
      </c>
      <c r="V59" s="1">
        <v>0</v>
      </c>
    </row>
    <row r="60" spans="3:22" hidden="1" x14ac:dyDescent="0.25"/>
    <row r="61" spans="3:22" hidden="1" x14ac:dyDescent="0.25"/>
    <row r="62" spans="3:22" hidden="1" x14ac:dyDescent="0.25"/>
    <row r="63" spans="3:22" hidden="1" x14ac:dyDescent="0.25"/>
    <row r="64" spans="3:22" hidden="1" x14ac:dyDescent="0.25">
      <c r="C64" s="14" t="str">
        <f>CONCATENATE("Pokud jste získal",IF($C$5="muž"," ","a "),"alespoň ",$C$14,IF($F$31&gt;30," let doby pojištění nebo 30 let doby pojištění bez náhradních dob"," let doby pojištění"),", je možné nejdříve k ",TEXT($F$24,"DD. MM. RRRR")," odejít do předčasného starobního důchodu.",IF($F$23=$F$26,"",CONCATENATE(" Možnost, vlivem legislativní změny provedené zákonem č. 270/2023 Sb., dočasně zanikla dne 1. 10. 2023 a vzniká znovu dnem ",TEXT($F$23,"DD. MM. RRRR")," při splnění podmínky získání alespoň ",$C$16," let doby pojištění. Předčasný starobní důchod lze přiznat nejdříve ode dne podání žádosti o přiznání tohoto důchodu nebo ode dne uplatnění nároku na tento důchod.")),IF($F$23&lt;EDATE(F26,12),CONCATENATE(" Při odchodu do předčasného starobního důchodu mezi 1.  10. 2024  a ",TEXT($F$18-1,"DD. MM. RRRR")," bude třeba splnit podmínku 40 let doby pojištění včetně náhradních dob."),""))</f>
        <v>Pokud jste získala alespoň 25 let doby pojištění, je možné nejdříve k 31. 12. 1959 odejít do předčasného starobního důchodu. Možnost, vlivem legislativní změny provedené zákonem č. 270/2023 Sb., dočasně zanikla dne 1. 10. 2023 a vzniká znovu dnem 31. 12. 1953 při splnění podmínky získání alespoň 25 let doby pojištění. Předčasný starobní důchod lze přiznat nejdříve ode dne podání žádosti o přiznání tohoto důchodu nebo ode dne uplatnění nároku na tento důchod. Při odchodu do předčasného starobního důchodu mezi 1.  10. 2024  a 30. 12. 1956 bude třeba splnit podmínku 40 let doby pojištění včetně náhradních dob.</v>
      </c>
    </row>
    <row r="65" spans="3:3" hidden="1" x14ac:dyDescent="0.25">
      <c r="C65" s="15" t="str">
        <f>CONCATENATE("Do předčasného starobního důchodu můžete odejít nejdříve ",TEXT($F$36,"DD. MM. RRRR"),", pokud jste získal",IF($C$5="muž"," ","a "),"alespoň ",$C$14,IF($F$31&gt;30," let doby pojištění nebo 30 let doby pojištění bez náhradních dob. Předčasný starobní důchod lze přiznat nejdříve ode dne podání žádosti o přiznání tohoto důchodu nebo ode dne uplatnění nároku na tento důchod."," let doby pojištění."),IF(AND($F$23&lt;EDATE($F$26,12),$F$18&gt;EDATE($F$26,12)),CONCATENATE(" Při odchodu do předčasného starobního důchodu mezi 1.  10. 2024  a ",TEXT($F$18-1,"DD. MM. RRRR")," je třeba splnit podmínku 40 let doby pojištění."),""))</f>
        <v>Do předčasného starobního důchodu můžete odejít nejdříve 31. 12. 1953, pokud jste získala alespoň 25 let doby pojištění.</v>
      </c>
    </row>
    <row r="66" spans="3:3" hidden="1" x14ac:dyDescent="0.25">
      <c r="C66" s="14" t="str">
        <f>CONCATENATE("Do předčasného starobního důchodu můžete odejít nejdříve ",TEXT($F$36,"DD. MM. RRRR"),", pokud jste získal",IF($C$5="muž"," ","a "),"alespoň ",$C$16,IF($F$31&gt;30," let doby pojištění."," let doby pojištění.")," Předčasný starobní důchod lze přiznat nejdříve ode dne podání žádosti o přiznání tohoto důchodu nebo ode dne uplatnění nároku na tento důchod.",IF(AND($F$23&lt;EDATE($F$26,12),$F$18&gt;EDATE($F$26,12)),CONCATENATE(" Při odchodu do předčasného starobního důchodu mezi 1.  10. 2024  a ",TEXT($F$18-1,"DD. MM. RRRR")," je třeba splnit podmínku 40 let doby pojištění."),""))</f>
        <v>Do předčasného starobního důchodu můžete odejít nejdříve 31. 12. 1953, pokud jste získala alespoň 25 let doby pojištění. Předčasný starobní důchod lze přiznat nejdříve ode dne podání žádosti o přiznání tohoto důchodu nebo ode dne uplatnění nároku na tento důchod.</v>
      </c>
    </row>
    <row r="67" spans="3:3" hidden="1" x14ac:dyDescent="0.25">
      <c r="C67" s="23" t="str">
        <f>CONCATENATE("Do předčasného starobního důchodu můžete odejít nejdříve ",TEXT($F$36,"DD. MM. RRRR"),", pokud jste získal",IF($C$5="muž"," ","a "),"alespoň ",$C$16,IF($F$31&gt;30," let doby pojištění nebo 30 let doby pojištění bez náhradních dob."," let doby pojištění."),IF(AND($F$23&lt;EDATE($F$26,12),$F$18&gt;EDATE($F$26,12)),CONCATENATE(" Při odchodu do předčasného starobního důchodu mezi 1.  10. 2024  a ",TEXT($F$18-1,"DD. MM. RRRR")," je třeba splnit podmínku 40 let doby pojištění. Předčasný starobní důchod lze přiznat nejdříve ode dne podání žádosti o přiznání tohoto důchodu nebo ode dne uplatnění nároku na tento důchod."),""))</f>
        <v>Do předčasného starobního důchodu můžete odejít nejdříve 31. 12. 1953, pokud jste získala alespoň 25 let doby pojištění.</v>
      </c>
    </row>
    <row r="68" spans="3:3" hidden="1" x14ac:dyDescent="0.25"/>
    <row r="69" spans="3:3" hidden="1" x14ac:dyDescent="0.25"/>
  </sheetData>
  <sheetProtection algorithmName="SHA-512" hashValue="DQrHc1zwHYek/+y44CVgPr9d3/DJK7l0Jr2G0PaWF01jwvvdKhHo037r9VsOti2/jOeWr/jywrBxwwRtRr5lTw==" saltValue="X9Apq7POceWfgS21MYLYqA==" spinCount="100000" sheet="1" selectLockedCells="1"/>
  <mergeCells count="9">
    <mergeCell ref="C18:D18"/>
    <mergeCell ref="B2:D2"/>
    <mergeCell ref="B3:D3"/>
    <mergeCell ref="B8:D8"/>
    <mergeCell ref="B10:D10"/>
    <mergeCell ref="B12:D12"/>
    <mergeCell ref="B7:D7"/>
    <mergeCell ref="B9:D9"/>
    <mergeCell ref="B11:D11"/>
  </mergeCells>
  <conditionalFormatting sqref="C18">
    <cfRule type="cellIs" dxfId="6" priority="4" operator="notEqual">
      <formula>""</formula>
    </cfRule>
  </conditionalFormatting>
  <conditionalFormatting sqref="C6">
    <cfRule type="expression" dxfId="5" priority="1">
      <formula>$B$6=""</formula>
    </cfRule>
  </conditionalFormatting>
  <dataValidations count="3">
    <dataValidation type="list" allowBlank="1" showInputMessage="1" showErrorMessage="1" sqref="C5" xr:uid="{A0C21964-F9CF-49E9-936B-D4BF8F1931E1}">
      <formula1>$Y$5:$Y$6</formula1>
    </dataValidation>
    <dataValidation type="date" allowBlank="1" showInputMessage="1" showErrorMessage="1" sqref="C4" xr:uid="{88902393-2DEF-4A12-AD3B-5EC296CF2A87}">
      <formula1>1</formula1>
      <formula2>TODAY()</formula2>
    </dataValidation>
    <dataValidation type="list" allowBlank="1" showInputMessage="1" showErrorMessage="1" sqref="C6" xr:uid="{8D736A2E-6E9A-4CF9-82C0-2F231A8BAB0A}">
      <formula1>IF($B$6="",$Z$4,$Z$5:$Z$10)</formula1>
    </dataValidation>
  </dataValidation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Důchodový věk</vt:lpstr>
      <vt:lpstr>RokyTabulky</vt:lpstr>
      <vt:lpstr>VěkováTabulka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Suchomel Marek Ing. (MPSV)</dc:creator>
  <cp:lastModifiedBy>Škorpík Jan Ing. (MPSV)</cp:lastModifiedBy>
  <dcterms:created xsi:type="dcterms:W3CDTF">2023-09-22T07:08:20Z</dcterms:created>
  <dcterms:modified xsi:type="dcterms:W3CDTF">2024-12-19T08:06:03Z</dcterms:modified>
</cp:coreProperties>
</file>