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431\Podklady\vyšší náhrada_karanténa\"/>
    </mc:Choice>
  </mc:AlternateContent>
  <xr:revisionPtr revIDLastSave="0" documentId="8_{D8BACC4F-83A7-4E82-8D93-D8352C324F41}" xr6:coauthVersionLast="45" xr6:coauthVersionMax="45" xr10:uidLastSave="{00000000-0000-0000-0000-000000000000}"/>
  <bookViews>
    <workbookView xWindow="6525" yWindow="4215" windowWidth="17385" windowHeight="11385" xr2:uid="{636DCFE4-3ACA-4A37-9148-AECC8060D9E1}"/>
  </bookViews>
  <sheets>
    <sheet name="kalkulačka_výpočet_přelom" sheetId="2" r:id="rId1"/>
    <sheet name="List1" sheetId="1" r:id="rId2"/>
  </sheets>
  <definedNames>
    <definedName name="_brezen_výše_příspěvku_na_karanténu">kalkulačka_výpočet_přelom!$J$20</definedName>
    <definedName name="_březen_90_průměrné_mzdy_za_dobu_karantény">kalkulačka_výpočet_přelom!$J$15</definedName>
    <definedName name="_březen_případné_snížení_příspěvku">kalkulačka_výpočet_přelom!$J$18</definedName>
    <definedName name="_březen_příspěvek_na_karanténu_370_Kč_za_den">kalkulačka_výpočet_přelom!$J$16</definedName>
    <definedName name="_březen_součet_náhrady_mzdy_a_maximálního_příspěvku">kalkulačka_výpočet_přelom!$J$17</definedName>
    <definedName name="_březen_Součet_náhrady_mzdy_a_příspěvku_při_karanténě">kalkulačka_výpočet_přelom!$J$19</definedName>
    <definedName name="_celé_období_90_průměrné_mzdy_za_dobu_karantény">kalkulačka_výpočet_přelom!$K$15</definedName>
    <definedName name="_celé_období_případné_snížení_příspěvku">kalkulačka_výpočet_přelom!$K$18</definedName>
    <definedName name="_celé_období_příspěvek_karanténa">kalkulačka_výpočet_přelom!$K$16</definedName>
    <definedName name="_celé_období_příspěvek_na_karanténu_370_Kč_za_den">kalkulačka_výpočet_přelom!$K$16</definedName>
    <definedName name="_celková_náhrada_v_době_karantény">kalkulačka_výpočet_přelom!$K$19</definedName>
    <definedName name="_dny_březen">kalkulačka_výpočet_přelom!$J$4</definedName>
    <definedName name="_dny_duben">kalkulačka_výpočet_přelom!$L$4</definedName>
    <definedName name="_duben_90">kalkulačka_výpočet_přelom!$L$15</definedName>
    <definedName name="_duben_izolacka">kalkulačka_výpočet_přelom!$L$20</definedName>
    <definedName name="_duben_náhrady_mzdy_a_příspěvku_při_karanténě">kalkulačka_výpočet_přelom!$L$19</definedName>
    <definedName name="_duben_příspěvek_karanténa">kalkulačka_výpočet_přelom!$L$16</definedName>
    <definedName name="_duben_Součet_náhrady_mzdy_a_příspěvku_při_karanténě">kalkulačka_výpočet_přelom!$L$19</definedName>
    <definedName name="_hodiny_březen">kalkulačka_výpočet_přelom!$J$5</definedName>
    <definedName name="_hodiny_duben">kalkulačka_výpočet_přelom!$L$5</definedName>
    <definedName name="_izolačka_celé_období_vážený_průměr">kalkulačka_výpočet_přelom!$K$20</definedName>
    <definedName name="_mzda_březen">kalkulačka_výpočet_přelom!$J$6</definedName>
    <definedName name="_mzda_duben">kalkulačka_výpočet_přelom!$L$6</definedName>
    <definedName name="_nahrada_mzdy_60_za_březen">kalkulačka_výpočet_přelom!$J$14</definedName>
    <definedName name="_nahrada_mzdy_60_za_duben">kalkulačka_výpočet_přelom!$L$14</definedName>
    <definedName name="_nahrada_mzdy_60_za_období_karantény">kalkulačka_výpočet_přelom!$K$14</definedName>
    <definedName name="_nahrada_mzdy_60_za_období_karantény_pomocí_váženého_průměru">kalkulačka_výpočet_přelom!$K$14</definedName>
    <definedName name="_prispevek_vyplaceny_za_duben">kalkulačka_výpočet_přelom!$M$19</definedName>
    <definedName name="_provizorni_prispevek_brezen">kalkulačka_výpočet_přelom!$J$19</definedName>
    <definedName name="_příspěvek_na_karanténu">kalkulačka_výpočet_přelom!$M$16</definedName>
    <definedName name="_strop_náhrady_období_karantény">kalkulačka_výpočet_přelom!$K$15</definedName>
    <definedName name="_strop_náhrady_v_březnu">kalkulačka_výpočet_přelom!$J$15</definedName>
    <definedName name="_vážený_průměr_průměrná_hodinová_mzda_celé_období_karantnény">kalkulačka_výpočet_přelom!$K$6</definedName>
    <definedName name="brezen_60_reduk_prum_karantena">kalkulačka_výpočet_přelom!$J$14</definedName>
    <definedName name="duben_60_reduk_prum_karantena">kalkulačka_výpočet_přelom!$L$14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2" l="1"/>
  <c r="J10" i="2" s="1"/>
  <c r="C11" i="2"/>
  <c r="D13" i="2"/>
  <c r="L10" i="2" l="1"/>
  <c r="D31" i="2"/>
  <c r="L9" i="2" l="1"/>
  <c r="L8" i="2"/>
  <c r="L12" i="2" l="1"/>
  <c r="L13" i="2" s="1"/>
  <c r="J16" i="2"/>
  <c r="J15" i="2"/>
  <c r="K6" i="2" l="1"/>
  <c r="K10" i="2" s="1"/>
  <c r="K9" i="2" l="1"/>
  <c r="K8" i="2"/>
  <c r="J8" i="2"/>
  <c r="K12" i="2" l="1"/>
  <c r="K4" i="2"/>
  <c r="K16" i="2" s="1"/>
  <c r="K5" i="2" l="1"/>
  <c r="K15" i="2" s="1"/>
  <c r="K13" i="2" l="1"/>
  <c r="C9" i="2"/>
  <c r="L14" i="2" l="1"/>
  <c r="Q24" i="2" s="1"/>
  <c r="J9" i="2"/>
  <c r="J12" i="2" s="1"/>
  <c r="J13" i="2" s="1"/>
  <c r="J14" i="2" l="1"/>
  <c r="P24" i="2" l="1"/>
  <c r="P22" i="2" s="1"/>
  <c r="K14" i="2"/>
  <c r="J17" i="2"/>
  <c r="J18" i="2"/>
  <c r="J19" i="2" s="1"/>
  <c r="J20" i="2" l="1"/>
  <c r="P7" i="2" s="1"/>
  <c r="P14" i="2" s="1"/>
  <c r="P30" i="2"/>
  <c r="K18" i="2"/>
  <c r="K17" i="2"/>
  <c r="K19" i="2" l="1"/>
  <c r="L19" i="2" l="1"/>
  <c r="Q30" i="2" s="1"/>
  <c r="K23" i="2"/>
  <c r="K20" i="2"/>
  <c r="P27" i="2"/>
  <c r="K21" i="2" l="1"/>
  <c r="P5" i="2"/>
  <c r="L20" i="2"/>
  <c r="Q7" i="2"/>
  <c r="Q14" i="2" s="1"/>
</calcChain>
</file>

<file path=xl/sharedStrings.xml><?xml version="1.0" encoding="utf-8"?>
<sst xmlns="http://schemas.openxmlformats.org/spreadsheetml/2006/main" count="48" uniqueCount="36">
  <si>
    <t xml:space="preserve">Výpočet mimořádného příspěvku zaměstnanci při nařízené karanténě </t>
  </si>
  <si>
    <t>Redukce PHV</t>
  </si>
  <si>
    <t xml:space="preserve"> do</t>
  </si>
  <si>
    <t>redukce na</t>
  </si>
  <si>
    <t>tj. na</t>
  </si>
  <si>
    <t>nad</t>
  </si>
  <si>
    <t>do</t>
  </si>
  <si>
    <t xml:space="preserve">do </t>
  </si>
  <si>
    <t>nezohledňuje se</t>
  </si>
  <si>
    <t xml:space="preserve">Výpočet náhrady mzdy za </t>
  </si>
  <si>
    <t>hodin</t>
  </si>
  <si>
    <t>Náhrada mzdy (60 % z redukovaného průměru) za dobu karantény</t>
  </si>
  <si>
    <t>Případné snížení příspěvku**</t>
  </si>
  <si>
    <t xml:space="preserve">Součet náhrady mzdy a příspěvku při karanténě </t>
  </si>
  <si>
    <t>březen</t>
  </si>
  <si>
    <t>duben</t>
  </si>
  <si>
    <t>Běžná náhrada mzdy</t>
  </si>
  <si>
    <t>celková náhrada v době karantény</t>
  </si>
  <si>
    <t>celé období</t>
  </si>
  <si>
    <t>výše příspěvku na karanténu</t>
  </si>
  <si>
    <t xml:space="preserve">kontrolní výpočet - součet náhrady mzdy a maximálního příspěvku </t>
  </si>
  <si>
    <t>Tzv. izolačka = příspěvek při karanténě</t>
  </si>
  <si>
    <t>Příspěvěk při karanténě ("izolačka")</t>
  </si>
  <si>
    <t>Výše úvazku</t>
  </si>
  <si>
    <t>Hodinová mzda</t>
  </si>
  <si>
    <t>Vložit údaje do bílých políček</t>
  </si>
  <si>
    <t>Počet kalendářních dnů v karanténě</t>
  </si>
  <si>
    <t xml:space="preserve">Počet hodin, které by zaměstnanec odpracoval v době karantény </t>
  </si>
  <si>
    <t>Součet náhrady mzdy a příspěvku při karanténě *</t>
  </si>
  <si>
    <t>Maximální výše příspěvku při karanténě (370 Kč za den)</t>
  </si>
  <si>
    <t>Orientační výpočet hodinové mzdy **</t>
  </si>
  <si>
    <t>Výše měsíční mzdy</t>
  </si>
  <si>
    <t>** Slouží pouze pro získání přibližné představy o výši hodinové mzdy pro určitou výši měsíční mzdy. Do kalkulátoru je třeba zadat průměrný hodinový výdělek konkrétního zaměstnance spočítaný podle zákoníku práce.</t>
  </si>
  <si>
    <t>Průměrný hodinový výdělek</t>
  </si>
  <si>
    <t>90 % průměrného výdělku za dobu karantény</t>
  </si>
  <si>
    <t>*Příspěvek při karanténě v součtu s náhradou příjmu dle zákoníku práce nesmí být vyšší než 90 % průměrného výdělku. V souvislosti s tím se pro účely výplaty  náhrada příjmu zaokrouhluje na celé koruny nahoru a příspěvek při karanténě na celé koruny dolů.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</si>
</sst>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Kč&quot;;[Red]\-#,##0\ &quot;Kč&quot;"/>
    <numFmt numFmtId="8" formatCode="#,##0.00\ &quot;Kč&quot;;[Red]\-#,##0.00\ &quot;Kč&quot;"/>
    <numFmt numFmtId="164" formatCode="#,##0_K"/>
    <numFmt numFmtId="165" formatCode="_-* #,##0\ &quot;Kč&quot;_K"/>
    <numFmt numFmtId="166" formatCode="_-* #,##0.00\ &quot;Kč&quot;_K"/>
    <numFmt numFmtId="167" formatCode="#,##0\ &quot;Kč&quot;"/>
    <numFmt numFmtId="168" formatCode="#,##0.00\ &quot;Kč&quot;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8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rgb="FFFFC000"/>
      <name val="Calibri"/>
      <family val="2"/>
      <scheme val="minor"/>
    </font>
    <font>
      <i/>
      <sz val="11"/>
      <color theme="0" tint="-0.1499984740745262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ck">
        <color theme="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7" fillId="0" borderId="0"/>
  </cellStyleXfs>
  <cellXfs count="145">
    <xf numFmtId="0" fontId="0" fillId="0" borderId="0" xfId="0"/>
    <xf numFmtId="164" fontId="6" fillId="2" borderId="5" xfId="0" applyNumberFormat="1" applyFont="1" applyFill="1" applyBorder="1"/>
    <xf numFmtId="164" fontId="5" fillId="2" borderId="6" xfId="0" applyNumberFormat="1" applyFont="1" applyFill="1" applyBorder="1"/>
    <xf numFmtId="164" fontId="5" fillId="2" borderId="8" xfId="2" applyFont="1" applyFill="1" applyBorder="1"/>
    <xf numFmtId="164" fontId="5" fillId="2" borderId="0" xfId="2" applyFont="1" applyFill="1"/>
    <xf numFmtId="164" fontId="5" fillId="2" borderId="0" xfId="0" applyNumberFormat="1" applyFont="1" applyFill="1" applyAlignment="1">
      <alignment horizontal="center"/>
    </xf>
    <xf numFmtId="166" fontId="5" fillId="2" borderId="0" xfId="2" applyNumberFormat="1" applyFont="1" applyFill="1" applyAlignment="1">
      <alignment horizontal="right"/>
    </xf>
    <xf numFmtId="9" fontId="5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left"/>
    </xf>
    <xf numFmtId="164" fontId="5" fillId="2" borderId="8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/>
    <xf numFmtId="164" fontId="5" fillId="2" borderId="9" xfId="2" applyFont="1" applyFill="1" applyBorder="1" applyAlignment="1">
      <alignment horizontal="center"/>
    </xf>
    <xf numFmtId="167" fontId="5" fillId="2" borderId="10" xfId="2" applyNumberFormat="1" applyFont="1" applyFill="1" applyBorder="1" applyAlignment="1">
      <alignment horizontal="center"/>
    </xf>
    <xf numFmtId="164" fontId="5" fillId="2" borderId="10" xfId="2" applyFont="1" applyFill="1" applyBorder="1" applyAlignment="1">
      <alignment horizontal="center"/>
    </xf>
    <xf numFmtId="9" fontId="5" fillId="2" borderId="10" xfId="1" applyFont="1" applyFill="1" applyBorder="1" applyAlignment="1" applyProtection="1">
      <alignment horizontal="center"/>
    </xf>
    <xf numFmtId="164" fontId="8" fillId="2" borderId="10" xfId="0" applyNumberFormat="1" applyFont="1" applyFill="1" applyBorder="1" applyAlignment="1">
      <alignment horizontal="center"/>
    </xf>
    <xf numFmtId="165" fontId="5" fillId="2" borderId="10" xfId="2" applyNumberFormat="1" applyFont="1" applyFill="1" applyBorder="1" applyAlignment="1">
      <alignment horizontal="center"/>
    </xf>
    <xf numFmtId="164" fontId="5" fillId="2" borderId="10" xfId="0" applyNumberFormat="1" applyFont="1" applyFill="1" applyBorder="1"/>
    <xf numFmtId="164" fontId="5" fillId="2" borderId="10" xfId="0" applyNumberFormat="1" applyFont="1" applyFill="1" applyBorder="1" applyAlignment="1">
      <alignment horizontal="center"/>
    </xf>
    <xf numFmtId="164" fontId="5" fillId="2" borderId="12" xfId="0" applyNumberFormat="1" applyFont="1" applyFill="1" applyBorder="1" applyAlignment="1">
      <alignment horizontal="right" vertical="center"/>
    </xf>
    <xf numFmtId="164" fontId="6" fillId="2" borderId="13" xfId="0" applyNumberFormat="1" applyFont="1" applyFill="1" applyBorder="1" applyAlignment="1">
      <alignment horizontal="center"/>
    </xf>
    <xf numFmtId="164" fontId="5" fillId="2" borderId="13" xfId="0" applyNumberFormat="1" applyFont="1" applyFill="1" applyBorder="1" applyAlignment="1">
      <alignment horizontal="left"/>
    </xf>
    <xf numFmtId="9" fontId="5" fillId="2" borderId="13" xfId="0" applyNumberFormat="1" applyFont="1" applyFill="1" applyBorder="1" applyAlignment="1">
      <alignment horizontal="center"/>
    </xf>
    <xf numFmtId="4" fontId="5" fillId="2" borderId="13" xfId="0" applyNumberFormat="1" applyFont="1" applyFill="1" applyBorder="1" applyAlignment="1" applyProtection="1">
      <alignment horizontal="center"/>
      <protection hidden="1"/>
    </xf>
    <xf numFmtId="164" fontId="5" fillId="2" borderId="13" xfId="0" applyNumberFormat="1" applyFont="1" applyFill="1" applyBorder="1" applyAlignment="1" applyProtection="1">
      <alignment horizontal="left"/>
      <protection hidden="1"/>
    </xf>
    <xf numFmtId="0" fontId="0" fillId="3" borderId="2" xfId="0" applyFill="1" applyBorder="1"/>
    <xf numFmtId="0" fontId="0" fillId="3" borderId="3" xfId="0" applyFill="1" applyBorder="1"/>
    <xf numFmtId="0" fontId="13" fillId="4" borderId="0" xfId="0" applyFont="1" applyFill="1"/>
    <xf numFmtId="0" fontId="0" fillId="4" borderId="2" xfId="0" applyFill="1" applyBorder="1"/>
    <xf numFmtId="0" fontId="11" fillId="4" borderId="3" xfId="0" applyFont="1" applyFill="1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8" fontId="5" fillId="2" borderId="7" xfId="2" applyNumberFormat="1" applyFont="1" applyFill="1" applyBorder="1" applyAlignment="1">
      <alignment horizontal="right" vertical="center" indent="1"/>
    </xf>
    <xf numFmtId="168" fontId="6" fillId="2" borderId="11" xfId="0" applyNumberFormat="1" applyFont="1" applyFill="1" applyBorder="1" applyAlignment="1">
      <alignment horizontal="right" vertical="center" indent="1"/>
    </xf>
    <xf numFmtId="168" fontId="5" fillId="2" borderId="14" xfId="2" applyNumberFormat="1" applyFont="1" applyFill="1" applyBorder="1" applyAlignment="1">
      <alignment horizontal="right" vertical="center" indent="1"/>
    </xf>
    <xf numFmtId="168" fontId="5" fillId="2" borderId="15" xfId="2" applyNumberFormat="1" applyFont="1" applyFill="1" applyBorder="1" applyAlignment="1">
      <alignment horizontal="right" vertical="center" indent="1"/>
    </xf>
    <xf numFmtId="168" fontId="6" fillId="2" borderId="16" xfId="0" applyNumberFormat="1" applyFont="1" applyFill="1" applyBorder="1" applyAlignment="1">
      <alignment horizontal="right" vertical="center" indent="1"/>
    </xf>
    <xf numFmtId="168" fontId="5" fillId="2" borderId="17" xfId="2" applyNumberFormat="1" applyFont="1" applyFill="1" applyBorder="1" applyAlignment="1">
      <alignment horizontal="right" vertical="center" indent="1"/>
    </xf>
    <xf numFmtId="0" fontId="2" fillId="3" borderId="4" xfId="0" applyFont="1" applyFill="1" applyBorder="1" applyAlignment="1">
      <alignment vertical="center"/>
    </xf>
    <xf numFmtId="0" fontId="0" fillId="7" borderId="2" xfId="0" applyFill="1" applyBorder="1"/>
    <xf numFmtId="0" fontId="0" fillId="7" borderId="3" xfId="0" applyFill="1" applyBorder="1"/>
    <xf numFmtId="168" fontId="11" fillId="4" borderId="4" xfId="0" applyNumberFormat="1" applyFont="1" applyFill="1" applyBorder="1" applyAlignment="1">
      <alignment horizontal="right" vertical="center" indent="1"/>
    </xf>
    <xf numFmtId="168" fontId="12" fillId="6" borderId="4" xfId="0" applyNumberFormat="1" applyFont="1" applyFill="1" applyBorder="1" applyAlignment="1">
      <alignment horizontal="right" vertical="center" wrapText="1" indent="1"/>
    </xf>
    <xf numFmtId="168" fontId="16" fillId="5" borderId="18" xfId="0" applyNumberFormat="1" applyFont="1" applyFill="1" applyBorder="1" applyAlignment="1">
      <alignment horizontal="right" vertical="center" indent="1"/>
    </xf>
    <xf numFmtId="0" fontId="0" fillId="8" borderId="0" xfId="0" applyFill="1"/>
    <xf numFmtId="0" fontId="2" fillId="7" borderId="0" xfId="0" applyFont="1" applyFill="1"/>
    <xf numFmtId="0" fontId="18" fillId="9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19" fillId="8" borderId="0" xfId="0" applyFont="1" applyFill="1" applyAlignment="1">
      <alignment horizontal="center"/>
    </xf>
    <xf numFmtId="0" fontId="20" fillId="8" borderId="21" xfId="0" applyFont="1" applyFill="1" applyBorder="1" applyAlignment="1">
      <alignment horizontal="left" vertical="center"/>
    </xf>
    <xf numFmtId="0" fontId="21" fillId="8" borderId="22" xfId="0" applyFont="1" applyFill="1" applyBorder="1"/>
    <xf numFmtId="0" fontId="10" fillId="8" borderId="0" xfId="0" applyFont="1" applyFill="1" applyAlignment="1">
      <alignment vertical="center" wrapText="1"/>
    </xf>
    <xf numFmtId="0" fontId="9" fillId="9" borderId="25" xfId="0" applyFont="1" applyFill="1" applyBorder="1"/>
    <xf numFmtId="164" fontId="21" fillId="8" borderId="0" xfId="0" applyNumberFormat="1" applyFont="1" applyFill="1" applyAlignment="1">
      <alignment vertical="center"/>
    </xf>
    <xf numFmtId="164" fontId="21" fillId="8" borderId="0" xfId="0" applyNumberFormat="1" applyFont="1" applyFill="1"/>
    <xf numFmtId="164" fontId="21" fillId="8" borderId="28" xfId="0" applyNumberFormat="1" applyFont="1" applyFill="1" applyBorder="1"/>
    <xf numFmtId="168" fontId="22" fillId="7" borderId="28" xfId="2" applyNumberFormat="1" applyFont="1" applyFill="1" applyBorder="1" applyAlignment="1" applyProtection="1">
      <alignment horizontal="right" vertical="center"/>
      <protection locked="0"/>
    </xf>
    <xf numFmtId="8" fontId="10" fillId="5" borderId="23" xfId="0" applyNumberFormat="1" applyFont="1" applyFill="1" applyBorder="1" applyAlignment="1">
      <alignment horizontal="center"/>
    </xf>
    <xf numFmtId="8" fontId="10" fillId="5" borderId="24" xfId="0" applyNumberFormat="1" applyFont="1" applyFill="1" applyBorder="1" applyAlignment="1">
      <alignment horizontal="center"/>
    </xf>
    <xf numFmtId="0" fontId="23" fillId="8" borderId="0" xfId="0" applyFont="1" applyFill="1" applyAlignment="1">
      <alignment vertical="center"/>
    </xf>
    <xf numFmtId="168" fontId="21" fillId="8" borderId="0" xfId="2" applyNumberFormat="1" applyFont="1" applyFill="1" applyAlignment="1">
      <alignment horizontal="right" vertical="center" indent="1"/>
    </xf>
    <xf numFmtId="8" fontId="14" fillId="5" borderId="30" xfId="0" applyNumberFormat="1" applyFont="1" applyFill="1" applyBorder="1" applyAlignment="1">
      <alignment horizontal="center" wrapText="1"/>
    </xf>
    <xf numFmtId="8" fontId="14" fillId="5" borderId="31" xfId="0" applyNumberFormat="1" applyFont="1" applyFill="1" applyBorder="1" applyAlignment="1">
      <alignment horizontal="center" wrapText="1"/>
    </xf>
    <xf numFmtId="0" fontId="19" fillId="8" borderId="0" xfId="0" applyFont="1" applyFill="1" applyAlignment="1">
      <alignment vertical="center" wrapText="1"/>
    </xf>
    <xf numFmtId="167" fontId="0" fillId="8" borderId="0" xfId="0" applyNumberFormat="1" applyFill="1"/>
    <xf numFmtId="6" fontId="0" fillId="8" borderId="0" xfId="0" applyNumberFormat="1" applyFill="1"/>
    <xf numFmtId="0" fontId="21" fillId="8" borderId="22" xfId="0" applyFont="1" applyFill="1" applyBorder="1" applyAlignment="1">
      <alignment vertical="center"/>
    </xf>
    <xf numFmtId="168" fontId="21" fillId="8" borderId="22" xfId="0" applyNumberFormat="1" applyFont="1" applyFill="1" applyBorder="1" applyAlignment="1">
      <alignment vertical="center"/>
    </xf>
    <xf numFmtId="0" fontId="20" fillId="8" borderId="25" xfId="0" applyFont="1" applyFill="1" applyBorder="1" applyAlignment="1">
      <alignment vertical="center"/>
    </xf>
    <xf numFmtId="0" fontId="21" fillId="8" borderId="0" xfId="0" applyFont="1" applyFill="1" applyAlignment="1">
      <alignment vertical="center"/>
    </xf>
    <xf numFmtId="168" fontId="21" fillId="8" borderId="0" xfId="0" applyNumberFormat="1" applyFont="1" applyFill="1" applyAlignment="1">
      <alignment horizontal="right" vertical="center"/>
    </xf>
    <xf numFmtId="168" fontId="21" fillId="8" borderId="26" xfId="0" applyNumberFormat="1" applyFont="1" applyFill="1" applyBorder="1" applyAlignment="1">
      <alignment horizontal="right" vertical="center"/>
    </xf>
    <xf numFmtId="6" fontId="3" fillId="8" borderId="0" xfId="0" applyNumberFormat="1" applyFont="1" applyFill="1"/>
    <xf numFmtId="0" fontId="22" fillId="10" borderId="27" xfId="0" applyFont="1" applyFill="1" applyBorder="1" applyAlignment="1">
      <alignment vertical="center"/>
    </xf>
    <xf numFmtId="0" fontId="22" fillId="10" borderId="28" xfId="0" applyFont="1" applyFill="1" applyBorder="1" applyAlignment="1">
      <alignment vertical="center"/>
    </xf>
    <xf numFmtId="168" fontId="25" fillId="5" borderId="28" xfId="0" applyNumberFormat="1" applyFont="1" applyFill="1" applyBorder="1" applyAlignment="1">
      <alignment vertical="center"/>
    </xf>
    <xf numFmtId="168" fontId="6" fillId="5" borderId="29" xfId="2" applyNumberFormat="1" applyFont="1" applyFill="1" applyBorder="1" applyAlignment="1">
      <alignment horizontal="right" vertical="center"/>
    </xf>
    <xf numFmtId="0" fontId="20" fillId="8" borderId="0" xfId="0" applyFont="1" applyFill="1"/>
    <xf numFmtId="0" fontId="21" fillId="8" borderId="0" xfId="0" applyFont="1" applyFill="1"/>
    <xf numFmtId="168" fontId="18" fillId="8" borderId="0" xfId="0" applyNumberFormat="1" applyFont="1" applyFill="1" applyAlignment="1">
      <alignment horizontal="right" vertical="center" indent="1"/>
    </xf>
    <xf numFmtId="6" fontId="18" fillId="8" borderId="0" xfId="0" applyNumberFormat="1" applyFont="1" applyFill="1" applyAlignment="1">
      <alignment horizontal="right" vertical="center" indent="1"/>
    </xf>
    <xf numFmtId="168" fontId="10" fillId="2" borderId="0" xfId="0" applyNumberFormat="1" applyFont="1" applyFill="1" applyAlignment="1">
      <alignment horizontal="center" vertical="center"/>
    </xf>
    <xf numFmtId="0" fontId="0" fillId="7" borderId="0" xfId="0" applyFill="1"/>
    <xf numFmtId="0" fontId="20" fillId="9" borderId="32" xfId="0" applyFont="1" applyFill="1" applyBorder="1" applyAlignment="1">
      <alignment vertical="center"/>
    </xf>
    <xf numFmtId="0" fontId="21" fillId="8" borderId="33" xfId="0" applyFont="1" applyFill="1" applyBorder="1" applyAlignment="1">
      <alignment vertical="center"/>
    </xf>
    <xf numFmtId="168" fontId="23" fillId="8" borderId="33" xfId="0" applyNumberFormat="1" applyFont="1" applyFill="1" applyBorder="1" applyAlignment="1">
      <alignment vertical="center"/>
    </xf>
    <xf numFmtId="168" fontId="20" fillId="9" borderId="34" xfId="0" applyNumberFormat="1" applyFont="1" applyFill="1" applyBorder="1" applyAlignment="1">
      <alignment horizontal="right" vertical="center"/>
    </xf>
    <xf numFmtId="0" fontId="23" fillId="8" borderId="0" xfId="0" applyFont="1" applyFill="1"/>
    <xf numFmtId="0" fontId="26" fillId="9" borderId="0" xfId="0" applyFont="1" applyFill="1"/>
    <xf numFmtId="0" fontId="26" fillId="9" borderId="0" xfId="0" applyFont="1" applyFill="1" applyAlignment="1">
      <alignment vertical="center" wrapText="1"/>
    </xf>
    <xf numFmtId="168" fontId="15" fillId="8" borderId="0" xfId="0" applyNumberFormat="1" applyFont="1" applyFill="1" applyAlignment="1">
      <alignment horizontal="center"/>
    </xf>
    <xf numFmtId="168" fontId="12" fillId="8" borderId="0" xfId="0" applyNumberFormat="1" applyFont="1" applyFill="1" applyAlignment="1">
      <alignment horizontal="center" vertical="center" wrapText="1"/>
    </xf>
    <xf numFmtId="0" fontId="18" fillId="8" borderId="0" xfId="0" applyFont="1" applyFill="1"/>
    <xf numFmtId="0" fontId="24" fillId="8" borderId="0" xfId="0" applyFont="1" applyFill="1"/>
    <xf numFmtId="6" fontId="12" fillId="8" borderId="0" xfId="0" applyNumberFormat="1" applyFont="1" applyFill="1" applyAlignment="1">
      <alignment vertical="center"/>
    </xf>
    <xf numFmtId="0" fontId="24" fillId="8" borderId="35" xfId="0" applyFont="1" applyFill="1" applyBorder="1"/>
    <xf numFmtId="0" fontId="24" fillId="8" borderId="36" xfId="0" applyFont="1" applyFill="1" applyBorder="1"/>
    <xf numFmtId="0" fontId="24" fillId="8" borderId="38" xfId="0" applyFont="1" applyFill="1" applyBorder="1"/>
    <xf numFmtId="0" fontId="24" fillId="8" borderId="40" xfId="0" applyFont="1" applyFill="1" applyBorder="1"/>
    <xf numFmtId="0" fontId="24" fillId="8" borderId="41" xfId="0" applyFont="1" applyFill="1" applyBorder="1"/>
    <xf numFmtId="8" fontId="18" fillId="8" borderId="42" xfId="0" applyNumberFormat="1" applyFont="1" applyFill="1" applyBorder="1" applyAlignment="1">
      <alignment horizontal="right"/>
    </xf>
    <xf numFmtId="6" fontId="14" fillId="5" borderId="23" xfId="0" applyNumberFormat="1" applyFont="1" applyFill="1" applyBorder="1" applyAlignment="1">
      <alignment horizontal="center" vertical="center"/>
    </xf>
    <xf numFmtId="6" fontId="14" fillId="5" borderId="24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/>
    <xf numFmtId="0" fontId="10" fillId="8" borderId="0" xfId="0" applyFont="1" applyFill="1" applyAlignment="1">
      <alignment horizontal="center" vertical="center"/>
    </xf>
    <xf numFmtId="8" fontId="14" fillId="5" borderId="0" xfId="0" applyNumberFormat="1" applyFont="1" applyFill="1" applyBorder="1" applyAlignment="1">
      <alignment horizontal="center" wrapText="1"/>
    </xf>
    <xf numFmtId="0" fontId="9" fillId="8" borderId="22" xfId="0" applyFont="1" applyFill="1" applyBorder="1" applyAlignment="1">
      <alignment vertical="center"/>
    </xf>
    <xf numFmtId="0" fontId="9" fillId="8" borderId="0" xfId="0" applyFont="1" applyFill="1" applyAlignment="1">
      <alignment horizontal="center"/>
    </xf>
    <xf numFmtId="0" fontId="2" fillId="7" borderId="4" xfId="0" applyFont="1" applyFill="1" applyBorder="1" applyAlignment="1">
      <alignment vertical="center"/>
    </xf>
    <xf numFmtId="8" fontId="0" fillId="7" borderId="4" xfId="0" applyNumberFormat="1" applyFill="1" applyBorder="1" applyAlignment="1">
      <alignment horizontal="right" vertical="center" indent="1"/>
    </xf>
    <xf numFmtId="2" fontId="27" fillId="7" borderId="39" xfId="0" applyNumberFormat="1" applyFont="1" applyFill="1" applyBorder="1" applyAlignment="1" applyProtection="1">
      <alignment horizontal="right"/>
      <protection locked="0"/>
    </xf>
    <xf numFmtId="168" fontId="5" fillId="2" borderId="43" xfId="2" applyNumberFormat="1" applyFont="1" applyFill="1" applyBorder="1" applyAlignment="1">
      <alignment horizontal="right" vertical="center" indent="1"/>
    </xf>
    <xf numFmtId="168" fontId="21" fillId="8" borderId="34" xfId="0" applyNumberFormat="1" applyFont="1" applyFill="1" applyBorder="1" applyAlignment="1">
      <alignment horizontal="right" vertical="center" wrapText="1"/>
    </xf>
    <xf numFmtId="2" fontId="22" fillId="7" borderId="0" xfId="0" applyNumberFormat="1" applyFont="1" applyFill="1" applyBorder="1" applyAlignment="1" applyProtection="1">
      <alignment horizontal="right" vertical="center"/>
      <protection locked="0"/>
    </xf>
    <xf numFmtId="0" fontId="21" fillId="8" borderId="22" xfId="0" applyFont="1" applyFill="1" applyBorder="1" applyAlignment="1">
      <alignment horizontal="center" vertical="center" wrapText="1"/>
    </xf>
    <xf numFmtId="168" fontId="21" fillId="8" borderId="28" xfId="0" applyNumberFormat="1" applyFont="1" applyFill="1" applyBorder="1" applyAlignment="1">
      <alignment horizontal="center" vertical="center" wrapText="1"/>
    </xf>
    <xf numFmtId="2" fontId="22" fillId="7" borderId="0" xfId="0" applyNumberFormat="1" applyFont="1" applyFill="1" applyAlignment="1" applyProtection="1">
      <alignment horizontal="right" vertical="center"/>
      <protection locked="0"/>
    </xf>
    <xf numFmtId="2" fontId="21" fillId="8" borderId="0" xfId="0" applyNumberFormat="1" applyFont="1" applyFill="1" applyAlignment="1">
      <alignment horizontal="center" vertical="center" wrapText="1"/>
    </xf>
    <xf numFmtId="6" fontId="14" fillId="5" borderId="23" xfId="0" applyNumberFormat="1" applyFont="1" applyFill="1" applyBorder="1" applyAlignment="1">
      <alignment horizontal="center"/>
    </xf>
    <xf numFmtId="6" fontId="14" fillId="5" borderId="24" xfId="0" applyNumberFormat="1" applyFont="1" applyFill="1" applyBorder="1" applyAlignment="1">
      <alignment horizontal="center"/>
    </xf>
    <xf numFmtId="167" fontId="14" fillId="2" borderId="28" xfId="0" applyNumberFormat="1" applyFont="1" applyFill="1" applyBorder="1" applyAlignment="1">
      <alignment horizontal="center" vertical="center" wrapText="1"/>
    </xf>
    <xf numFmtId="167" fontId="12" fillId="8" borderId="0" xfId="0" applyNumberFormat="1" applyFont="1" applyFill="1" applyAlignment="1">
      <alignment horizontal="center" vertical="center"/>
    </xf>
    <xf numFmtId="6" fontId="27" fillId="7" borderId="37" xfId="0" applyNumberFormat="1" applyFont="1" applyFill="1" applyBorder="1" applyAlignment="1">
      <alignment horizontal="right"/>
    </xf>
    <xf numFmtId="1" fontId="22" fillId="7" borderId="22" xfId="0" applyNumberFormat="1" applyFont="1" applyFill="1" applyBorder="1" applyAlignment="1" applyProtection="1">
      <alignment horizontal="right" vertical="center"/>
      <protection locked="0"/>
    </xf>
    <xf numFmtId="0" fontId="10" fillId="5" borderId="19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164" fontId="20" fillId="8" borderId="27" xfId="0" applyNumberFormat="1" applyFont="1" applyFill="1" applyBorder="1" applyAlignment="1">
      <alignment vertical="center" wrapText="1"/>
    </xf>
    <xf numFmtId="164" fontId="20" fillId="8" borderId="28" xfId="0" applyNumberFormat="1" applyFont="1" applyFill="1" applyBorder="1" applyAlignment="1">
      <alignment vertical="center" wrapText="1"/>
    </xf>
    <xf numFmtId="0" fontId="17" fillId="7" borderId="0" xfId="0" applyFont="1" applyFill="1" applyAlignment="1">
      <alignment horizontal="center"/>
    </xf>
    <xf numFmtId="6" fontId="14" fillId="5" borderId="23" xfId="0" applyNumberFormat="1" applyFont="1" applyFill="1" applyBorder="1" applyAlignment="1">
      <alignment horizontal="center"/>
    </xf>
    <xf numFmtId="6" fontId="14" fillId="5" borderId="24" xfId="0" applyNumberFormat="1" applyFont="1" applyFill="1" applyBorder="1" applyAlignment="1">
      <alignment horizontal="center"/>
    </xf>
    <xf numFmtId="0" fontId="10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164" fontId="20" fillId="8" borderId="21" xfId="0" applyNumberFormat="1" applyFont="1" applyFill="1" applyBorder="1" applyAlignment="1">
      <alignment vertical="center" wrapText="1"/>
    </xf>
    <xf numFmtId="164" fontId="20" fillId="8" borderId="22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168" fontId="12" fillId="8" borderId="0" xfId="0" applyNumberFormat="1" applyFont="1" applyFill="1" applyAlignment="1">
      <alignment horizontal="center" vertical="center"/>
    </xf>
    <xf numFmtId="0" fontId="26" fillId="9" borderId="0" xfId="0" applyFont="1" applyFill="1" applyAlignment="1">
      <alignment horizontal="left" vertical="center" wrapText="1"/>
    </xf>
    <xf numFmtId="167" fontId="14" fillId="2" borderId="0" xfId="0" applyNumberFormat="1" applyFont="1" applyFill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167" fontId="28" fillId="8" borderId="0" xfId="0" applyNumberFormat="1" applyFont="1" applyFill="1" applyAlignment="1">
      <alignment horizontal="center" vertical="center"/>
    </xf>
  </cellXfs>
  <cellStyles count="3">
    <cellStyle name="Normální" xfId="0" builtinId="0"/>
    <cellStyle name="PB_TR10" xfId="2" xr:uid="{A875A5AD-2032-4019-8067-B5AFE6506BBF}"/>
    <cellStyle name="Procenta" xfId="1" builtinId="5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06302-FE15-41D7-816B-7B4017D203C8}">
  <dimension ref="A1:AN129"/>
  <sheetViews>
    <sheetView tabSelected="1" zoomScaleNormal="100" workbookViewId="0">
      <selection activeCell="P30" sqref="P30"/>
    </sheetView>
  </sheetViews>
  <sheetFormatPr defaultRowHeight="15" x14ac:dyDescent="0.25"/>
  <cols>
    <col min="1" max="1" width="6.42578125" style="45" customWidth="1"/>
    <col min="2" max="2" width="14.140625" style="45" customWidth="1"/>
    <col min="3" max="3" width="14.28515625" style="45" customWidth="1"/>
    <col min="4" max="4" width="12.28515625" style="45" customWidth="1"/>
    <col min="5" max="5" width="21.85546875" style="45" customWidth="1"/>
    <col min="6" max="8" width="2.85546875" style="45" hidden="1" customWidth="1"/>
    <col min="9" max="9" width="6.140625" style="45" hidden="1" customWidth="1"/>
    <col min="10" max="12" width="13.5703125" style="45" customWidth="1"/>
    <col min="13" max="13" width="1.85546875" style="45" customWidth="1"/>
    <col min="14" max="14" width="1.5703125" style="45" customWidth="1"/>
    <col min="15" max="15" width="7" customWidth="1"/>
    <col min="16" max="17" width="17.140625" customWidth="1"/>
    <col min="18" max="21" width="17.140625" hidden="1" customWidth="1"/>
    <col min="22" max="23" width="5.28515625" customWidth="1"/>
    <col min="36" max="39" width="8.7109375" style="45"/>
  </cols>
  <sheetData>
    <row r="1" spans="2:40" x14ac:dyDescent="0.25"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</row>
    <row r="2" spans="2:40" s="46" customFormat="1" x14ac:dyDescent="0.25">
      <c r="B2" s="46" t="s">
        <v>0</v>
      </c>
      <c r="J2" s="132" t="s">
        <v>25</v>
      </c>
      <c r="K2" s="132"/>
      <c r="L2" s="132"/>
    </row>
    <row r="3" spans="2:40" ht="15" customHeight="1" thickBot="1" x14ac:dyDescent="0.3">
      <c r="J3" s="47" t="s">
        <v>14</v>
      </c>
      <c r="K3" s="47" t="s">
        <v>18</v>
      </c>
      <c r="L3" s="47" t="s">
        <v>15</v>
      </c>
      <c r="M3" s="47"/>
      <c r="N3" s="48"/>
      <c r="O3" s="48"/>
      <c r="P3" s="48"/>
      <c r="Q3" s="48"/>
      <c r="R3" s="48"/>
      <c r="S3" s="48"/>
      <c r="T3" s="48"/>
      <c r="U3" s="4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</row>
    <row r="4" spans="2:40" ht="16.5" customHeight="1" thickTop="1" x14ac:dyDescent="0.25">
      <c r="B4" s="50" t="s">
        <v>26</v>
      </c>
      <c r="C4" s="51"/>
      <c r="D4" s="51"/>
      <c r="E4" s="51"/>
      <c r="F4" s="51"/>
      <c r="G4" s="51"/>
      <c r="H4" s="51"/>
      <c r="I4" s="51"/>
      <c r="J4" s="124">
        <v>3</v>
      </c>
      <c r="K4" s="115">
        <f>J4+L4</f>
        <v>14</v>
      </c>
      <c r="L4" s="124">
        <v>11</v>
      </c>
      <c r="M4" s="49"/>
      <c r="O4" s="45"/>
      <c r="P4" s="135" t="s">
        <v>22</v>
      </c>
      <c r="Q4" s="136"/>
      <c r="R4" s="125"/>
      <c r="S4" s="31"/>
      <c r="T4" s="31"/>
      <c r="U4" s="31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N4" s="45"/>
    </row>
    <row r="5" spans="2:40" ht="16.5" customHeight="1" x14ac:dyDescent="0.25">
      <c r="B5" s="53" t="s">
        <v>27</v>
      </c>
      <c r="C5" s="54"/>
      <c r="D5" s="54"/>
      <c r="E5" s="54"/>
      <c r="F5" s="54"/>
      <c r="G5" s="54"/>
      <c r="H5" s="54"/>
      <c r="I5" s="55"/>
      <c r="J5" s="117">
        <v>24</v>
      </c>
      <c r="K5" s="118">
        <f>J5+L5</f>
        <v>80</v>
      </c>
      <c r="L5" s="114">
        <v>56</v>
      </c>
      <c r="M5" s="52"/>
      <c r="N5" s="52"/>
      <c r="O5" s="52"/>
      <c r="P5" s="133">
        <f>_izolačka_celé_období_vážený_průměr</f>
        <v>4159</v>
      </c>
      <c r="Q5" s="134"/>
      <c r="R5" s="126"/>
      <c r="S5" s="31"/>
      <c r="T5" s="31"/>
      <c r="U5" s="31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N5" s="45"/>
    </row>
    <row r="6" spans="2:40" ht="16.5" customHeight="1" thickBot="1" x14ac:dyDescent="0.3">
      <c r="B6" s="130" t="s">
        <v>33</v>
      </c>
      <c r="C6" s="131"/>
      <c r="D6" s="131"/>
      <c r="E6" s="131"/>
      <c r="F6" s="131"/>
      <c r="G6" s="131"/>
      <c r="H6" s="56"/>
      <c r="I6" s="56"/>
      <c r="J6" s="57">
        <v>150</v>
      </c>
      <c r="K6" s="116">
        <f>SUMPRODUCT(_hodiny_březen*_mzda_březen+_hodiny_duben*_mzda_duben)/SUM(_hodiny_březen+_hodiny_duben)</f>
        <v>144.435</v>
      </c>
      <c r="L6" s="57">
        <v>142.05000000000001</v>
      </c>
      <c r="M6" s="52"/>
      <c r="N6" s="52"/>
      <c r="O6" s="52"/>
      <c r="P6" s="102" t="s">
        <v>14</v>
      </c>
      <c r="Q6" s="103" t="s">
        <v>15</v>
      </c>
      <c r="R6" s="102"/>
      <c r="S6" s="31"/>
      <c r="T6" s="31"/>
      <c r="U6" s="31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N6" s="45"/>
    </row>
    <row r="7" spans="2:40" ht="33" hidden="1" customHeight="1" x14ac:dyDescent="0.25">
      <c r="B7" s="1" t="s">
        <v>1</v>
      </c>
      <c r="C7" s="2"/>
      <c r="D7" s="2"/>
      <c r="E7" s="2"/>
      <c r="F7" s="2"/>
      <c r="G7" s="2"/>
      <c r="H7" s="2"/>
      <c r="I7" s="2"/>
      <c r="J7" s="35"/>
      <c r="K7" s="33"/>
      <c r="L7" s="36"/>
      <c r="M7" s="52"/>
      <c r="N7" s="52"/>
      <c r="O7" s="52"/>
      <c r="P7" s="58">
        <f>_brezen_výše_příspěvku_na_karanténu</f>
        <v>1110</v>
      </c>
      <c r="Q7" s="59">
        <f>_izolačka_celé_období_vážený_průměr-_brezen_výše_příspěvku_na_karanténu</f>
        <v>3049</v>
      </c>
      <c r="R7" s="58"/>
      <c r="S7" s="31"/>
      <c r="T7" s="31"/>
      <c r="U7" s="31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N7" s="45"/>
    </row>
    <row r="8" spans="2:40" ht="33" hidden="1" customHeight="1" thickBot="1" x14ac:dyDescent="0.3">
      <c r="B8" s="3"/>
      <c r="C8" s="4"/>
      <c r="D8" s="5" t="s">
        <v>2</v>
      </c>
      <c r="E8" s="6">
        <v>206.85</v>
      </c>
      <c r="F8" s="4"/>
      <c r="G8" s="8" t="s">
        <v>3</v>
      </c>
      <c r="H8" s="7">
        <v>0.9</v>
      </c>
      <c r="I8" s="104" t="s">
        <v>4</v>
      </c>
      <c r="J8" s="36">
        <f>ROUND($H8*MIN(J$6,$E8),2)</f>
        <v>135</v>
      </c>
      <c r="K8" s="33">
        <f>ROUND($H8*MIN(K$6,$E8),2)</f>
        <v>129.99</v>
      </c>
      <c r="L8" s="36">
        <f>ROUND($H8*MIN(L$6,$E8),2)</f>
        <v>127.85</v>
      </c>
      <c r="M8" s="61"/>
      <c r="N8" s="52"/>
      <c r="O8" s="52"/>
      <c r="P8" s="62"/>
      <c r="Q8" s="63"/>
      <c r="R8" s="62"/>
      <c r="S8" s="31"/>
      <c r="T8" s="31"/>
      <c r="U8" s="31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N8" s="45"/>
    </row>
    <row r="9" spans="2:40" ht="33" hidden="1" customHeight="1" thickTop="1" x14ac:dyDescent="0.25">
      <c r="B9" s="9" t="s">
        <v>5</v>
      </c>
      <c r="C9" s="6">
        <f>+E8</f>
        <v>206.85</v>
      </c>
      <c r="D9" s="10" t="s">
        <v>6</v>
      </c>
      <c r="E9" s="6">
        <v>310.27999999999997</v>
      </c>
      <c r="F9" s="8"/>
      <c r="G9" s="8" t="s">
        <v>3</v>
      </c>
      <c r="H9" s="7">
        <v>0.6</v>
      </c>
      <c r="I9" s="104" t="s">
        <v>4</v>
      </c>
      <c r="J9" s="36">
        <f>ROUND($H$9*IF(J$6&gt;C9,MIN(J$6,$C$10)-$C$9,0),2)</f>
        <v>0</v>
      </c>
      <c r="K9" s="33">
        <f>ROUND($H$9*IF(K$6&gt;D9,MIN(K$6,$C$10)-$C$9,0),2)</f>
        <v>0</v>
      </c>
      <c r="L9" s="36">
        <f>ROUND($H$9*IF(L$6&gt;E9,MIN(L$6,$C$10)-$C$9,0),2)</f>
        <v>0</v>
      </c>
      <c r="M9" s="64"/>
      <c r="N9" s="52"/>
      <c r="O9" s="52"/>
      <c r="P9" s="45"/>
      <c r="Q9" s="45"/>
      <c r="R9" s="106"/>
      <c r="S9" s="31"/>
      <c r="T9" s="31"/>
      <c r="U9" s="31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N9" s="45"/>
    </row>
    <row r="10" spans="2:40" ht="33" hidden="1" customHeight="1" x14ac:dyDescent="0.25">
      <c r="B10" s="9" t="s">
        <v>5</v>
      </c>
      <c r="C10" s="6">
        <f>+E9</f>
        <v>310.27999999999997</v>
      </c>
      <c r="D10" s="5" t="s">
        <v>7</v>
      </c>
      <c r="E10" s="6">
        <v>620.38</v>
      </c>
      <c r="F10" s="11"/>
      <c r="G10" s="8" t="s">
        <v>3</v>
      </c>
      <c r="H10" s="7">
        <v>0.3</v>
      </c>
      <c r="I10" s="104" t="s">
        <v>4</v>
      </c>
      <c r="J10" s="36">
        <f>ROUND($H$10*IF(J$6&gt;$C$10,MIN(J$6,$C$11)-$C$10,0),2)</f>
        <v>0</v>
      </c>
      <c r="K10" s="33">
        <f>ROUND($H$10*IF(K$6&gt;$C$10,MIN(K$6,$C$11)-$C$10,0),2)</f>
        <v>0</v>
      </c>
      <c r="L10" s="36">
        <f>ROUND($H$10*IF(L$6&gt;$C$10,MIN(L$6,$C$11)-$C$10,0),2)</f>
        <v>0</v>
      </c>
      <c r="M10" s="64"/>
      <c r="N10" s="52"/>
      <c r="O10" s="52"/>
      <c r="P10" s="45"/>
      <c r="Q10" s="45"/>
      <c r="R10" s="106"/>
      <c r="S10" s="31"/>
      <c r="T10" s="31"/>
      <c r="U10" s="31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N10" s="45"/>
    </row>
    <row r="11" spans="2:40" ht="33" hidden="1" customHeight="1" x14ac:dyDescent="0.25">
      <c r="B11" s="9" t="s">
        <v>5</v>
      </c>
      <c r="C11" s="6">
        <f>+E10</f>
        <v>620.38</v>
      </c>
      <c r="D11" s="8" t="s">
        <v>8</v>
      </c>
      <c r="E11" s="4"/>
      <c r="F11" s="4"/>
      <c r="G11" s="4"/>
      <c r="H11" s="11"/>
      <c r="I11" s="4"/>
      <c r="J11" s="36"/>
      <c r="K11" s="33"/>
      <c r="L11" s="36"/>
      <c r="M11" s="64"/>
      <c r="N11" s="52"/>
      <c r="O11" s="52"/>
      <c r="P11" s="45"/>
      <c r="Q11" s="45"/>
      <c r="R11" s="106"/>
      <c r="S11" s="31"/>
      <c r="T11" s="31"/>
      <c r="U11" s="31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N11" s="45"/>
    </row>
    <row r="12" spans="2:40" ht="33" hidden="1" customHeight="1" x14ac:dyDescent="0.25">
      <c r="B12" s="12"/>
      <c r="C12" s="13"/>
      <c r="D12" s="14"/>
      <c r="E12" s="15"/>
      <c r="F12" s="16"/>
      <c r="G12" s="17"/>
      <c r="H12" s="18"/>
      <c r="I12" s="19"/>
      <c r="J12" s="37">
        <f>+J8+J9+J10</f>
        <v>135</v>
      </c>
      <c r="K12" s="34">
        <f>+K8+K9+K10</f>
        <v>129.99</v>
      </c>
      <c r="L12" s="37">
        <f>+L8+L9+L10</f>
        <v>127.85</v>
      </c>
      <c r="M12" s="64"/>
      <c r="N12" s="52"/>
      <c r="O12" s="52"/>
      <c r="P12" s="45"/>
      <c r="Q12" s="45"/>
      <c r="R12" s="106"/>
      <c r="S12" s="31"/>
      <c r="T12" s="31"/>
      <c r="U12" s="31"/>
      <c r="V12" s="45"/>
      <c r="W12" s="45"/>
      <c r="X12" s="45"/>
      <c r="Y12" s="6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N12" s="45"/>
    </row>
    <row r="13" spans="2:40" ht="33" hidden="1" customHeight="1" thickBot="1" x14ac:dyDescent="0.3">
      <c r="B13" s="20"/>
      <c r="C13" s="20" t="s">
        <v>9</v>
      </c>
      <c r="D13" s="21">
        <f>+J5</f>
        <v>24</v>
      </c>
      <c r="E13" s="22" t="s">
        <v>10</v>
      </c>
      <c r="F13" s="23">
        <v>0.6</v>
      </c>
      <c r="G13" s="24"/>
      <c r="H13" s="25"/>
      <c r="I13" s="22"/>
      <c r="J13" s="38">
        <f>ROUND((J$12*$F$13),2)*J$5</f>
        <v>1944</v>
      </c>
      <c r="K13" s="38">
        <f>ROUND((K$12*$F$13),2)*K$5</f>
        <v>6239.2</v>
      </c>
      <c r="L13" s="112">
        <f>ROUND((L$12*$F$13),2)*L$5</f>
        <v>4295.7599999999993</v>
      </c>
      <c r="M13" s="64"/>
      <c r="N13" s="52"/>
      <c r="O13" s="52"/>
      <c r="P13" s="45"/>
      <c r="Q13" s="45"/>
      <c r="R13" s="106"/>
      <c r="S13" s="31"/>
      <c r="T13" s="31"/>
      <c r="U13" s="31"/>
      <c r="V13" s="45"/>
      <c r="W13" s="45"/>
      <c r="X13" s="45"/>
      <c r="Y13" s="66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N13" s="45"/>
    </row>
    <row r="14" spans="2:40" ht="15.95" customHeight="1" thickBot="1" x14ac:dyDescent="0.3">
      <c r="B14" s="137" t="s">
        <v>11</v>
      </c>
      <c r="C14" s="138"/>
      <c r="D14" s="138"/>
      <c r="E14" s="138"/>
      <c r="F14" s="138"/>
      <c r="G14" s="138"/>
      <c r="H14" s="67"/>
      <c r="I14" s="67"/>
      <c r="J14" s="68">
        <f>CEILING(J13,1)</f>
        <v>1944</v>
      </c>
      <c r="K14" s="68">
        <f>_nahrada_mzdy_60_za_březen+_nahrada_mzdy_60_za_duben</f>
        <v>6240</v>
      </c>
      <c r="L14" s="113">
        <f>CEILING(L13,1)</f>
        <v>4296</v>
      </c>
      <c r="M14" s="64"/>
      <c r="N14" s="52"/>
      <c r="O14" s="52"/>
      <c r="P14" s="119">
        <f>P7</f>
        <v>1110</v>
      </c>
      <c r="Q14" s="120">
        <f>Q7</f>
        <v>3049</v>
      </c>
      <c r="R14" s="106"/>
      <c r="S14" s="31"/>
      <c r="T14" s="31"/>
      <c r="U14" s="31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N14" s="45"/>
    </row>
    <row r="15" spans="2:40" ht="15.95" customHeight="1" thickBot="1" x14ac:dyDescent="0.3">
      <c r="B15" s="69" t="s">
        <v>34</v>
      </c>
      <c r="C15" s="70"/>
      <c r="D15" s="70"/>
      <c r="E15" s="70"/>
      <c r="F15" s="70"/>
      <c r="G15" s="70"/>
      <c r="H15" s="70"/>
      <c r="I15" s="70"/>
      <c r="J15" s="71">
        <f>0.9*_mzda_březen*_hodiny_březen</f>
        <v>3240</v>
      </c>
      <c r="K15" s="72">
        <f>0.9*_vážený_průměr_průměrná_hodinová_mzda_celé_období_karantnény*K5</f>
        <v>10399.32</v>
      </c>
      <c r="L15" s="64"/>
      <c r="M15" s="64"/>
      <c r="N15" s="52"/>
      <c r="O15" s="52"/>
      <c r="P15" s="62"/>
      <c r="Q15" s="63"/>
      <c r="R15" s="106"/>
      <c r="S15" s="31"/>
      <c r="T15" s="31"/>
      <c r="U15" s="31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N15" s="45"/>
    </row>
    <row r="16" spans="2:40" ht="15.95" customHeight="1" thickTop="1" x14ac:dyDescent="0.25">
      <c r="B16" s="69" t="s">
        <v>29</v>
      </c>
      <c r="C16" s="70"/>
      <c r="D16" s="70"/>
      <c r="E16" s="70"/>
      <c r="F16" s="70"/>
      <c r="G16" s="70"/>
      <c r="H16" s="70"/>
      <c r="I16" s="70"/>
      <c r="J16" s="71">
        <f>_dny_březen*370</f>
        <v>1110</v>
      </c>
      <c r="K16" s="72">
        <f>K4*370</f>
        <v>5180</v>
      </c>
      <c r="L16" s="52"/>
      <c r="M16" s="52"/>
      <c r="N16" s="52"/>
      <c r="O16" s="52"/>
      <c r="P16" s="45"/>
      <c r="Q16" s="45"/>
      <c r="R16" s="106"/>
      <c r="S16" s="31"/>
      <c r="T16" s="31"/>
      <c r="U16" s="31"/>
      <c r="V16" s="45"/>
      <c r="W16" s="45"/>
      <c r="X16" s="45"/>
      <c r="Y16" s="66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N16" s="45"/>
    </row>
    <row r="17" spans="1:40" ht="15" hidden="1" customHeight="1" thickBot="1" x14ac:dyDescent="0.3">
      <c r="B17" s="28"/>
      <c r="C17" s="29"/>
      <c r="D17" s="29"/>
      <c r="E17" s="29"/>
      <c r="F17" s="29"/>
      <c r="G17" s="29"/>
      <c r="H17" s="29"/>
      <c r="I17" s="30" t="s">
        <v>20</v>
      </c>
      <c r="J17" s="42">
        <f>_březen_příspěvek_na_karanténu_370_Kč_za_den+_nahrada_mzdy_60_za_březen</f>
        <v>3054</v>
      </c>
      <c r="K17" s="42">
        <f>K16+K14</f>
        <v>11420</v>
      </c>
      <c r="L17" s="64"/>
      <c r="M17" s="64"/>
      <c r="N17" s="52"/>
      <c r="O17" s="52"/>
      <c r="P17" s="45"/>
      <c r="Q17" s="45"/>
      <c r="R17" s="106"/>
      <c r="S17" s="31"/>
      <c r="T17" s="31"/>
      <c r="U17" s="31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N17" s="45"/>
    </row>
    <row r="18" spans="1:40" ht="15" hidden="1" customHeight="1" thickBot="1" x14ac:dyDescent="0.3">
      <c r="B18" s="109" t="s">
        <v>12</v>
      </c>
      <c r="C18" s="40"/>
      <c r="D18" s="40"/>
      <c r="E18" s="40"/>
      <c r="F18" s="40"/>
      <c r="G18" s="40"/>
      <c r="H18" s="40"/>
      <c r="I18" s="41"/>
      <c r="J18" s="110">
        <f>IF((_březen_90_průměrné_mzdy_za_dobu_karantény-_nahrada_mzdy_60_za_březen-_březen_příspěvek_na_karanténu_370_Kč_za_den)&lt;0,(_březen_90_průměrné_mzdy_za_dobu_karantény-_nahrada_mzdy_60_za_březen-_březen_příspěvek_na_karanténu_370_Kč_za_den)*1,(_březen_90_průměrné_mzdy_za_dobu_karantény-_nahrada_mzdy_60_za_březen-_březen_příspěvek_na_karanténu_370_Kč_za_den)*0)</f>
        <v>0</v>
      </c>
      <c r="K18" s="110">
        <f>IF((K15-K14-K16)&lt;0,(K15-K14-K16)*1,(K15-K14-K16)*0)</f>
        <v>-1020.6800000000003</v>
      </c>
      <c r="L18" s="32"/>
      <c r="M18" s="64"/>
      <c r="N18" s="52"/>
      <c r="O18" s="52"/>
      <c r="P18" s="45"/>
      <c r="Q18" s="45"/>
      <c r="R18" s="106"/>
      <c r="S18" s="31"/>
      <c r="T18" s="31"/>
      <c r="U18" s="31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N18" s="45"/>
    </row>
    <row r="19" spans="1:40" ht="15" hidden="1" customHeight="1" thickBot="1" x14ac:dyDescent="0.3">
      <c r="B19" s="39" t="s">
        <v>13</v>
      </c>
      <c r="C19" s="26"/>
      <c r="D19" s="26"/>
      <c r="E19" s="26"/>
      <c r="F19" s="26"/>
      <c r="G19" s="26"/>
      <c r="H19" s="26"/>
      <c r="I19" s="27"/>
      <c r="J19" s="43">
        <f>FLOOR(_nahrada_mzdy_60_za_březen+_březen_příspěvek_na_karanténu_370_Kč_za_den+_březen_případné_snížení_příspěvku,1)</f>
        <v>3054</v>
      </c>
      <c r="K19" s="43">
        <f>FLOOR(_nahrada_mzdy_60_za_období_karantény_pomocí_váženého_průměru+_celé_období_příspěvek_karanténa+_celé_období_případné_snížení_příspěvku,1)</f>
        <v>10399</v>
      </c>
      <c r="L19" s="43">
        <f>_celková_náhrada_v_době_karantény-_březen_Součet_náhrady_mzdy_a_příspěvku_při_karanténě</f>
        <v>7345</v>
      </c>
      <c r="M19" s="64"/>
      <c r="N19" s="52"/>
      <c r="O19" s="52"/>
      <c r="P19" s="45"/>
      <c r="Q19" s="45"/>
      <c r="R19" s="106"/>
      <c r="S19" s="31"/>
      <c r="T19" s="31"/>
      <c r="U19" s="31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N19" s="45"/>
    </row>
    <row r="20" spans="1:40" ht="15" hidden="1" customHeight="1" thickBot="1" x14ac:dyDescent="0.3">
      <c r="B20" s="127" t="s">
        <v>19</v>
      </c>
      <c r="C20" s="128"/>
      <c r="D20" s="128"/>
      <c r="E20" s="128"/>
      <c r="F20" s="128"/>
      <c r="G20" s="128"/>
      <c r="H20" s="128"/>
      <c r="I20" s="129"/>
      <c r="J20" s="44">
        <f>FLOOR(_provizorni_prispevek_brezen-brezen_60_reduk_prum_karantena,1)</f>
        <v>1110</v>
      </c>
      <c r="K20" s="44">
        <f>FLOOR(_celková_náhrada_v_době_karantény-_nahrada_mzdy_60_za_období_karantény_pomocí_váženého_průměru,1)</f>
        <v>4159</v>
      </c>
      <c r="L20" s="44">
        <f>FLOOR(_izolačka_celé_období_vážený_průměr-_brezen_výše_příspěvku_na_karanténu,1)</f>
        <v>3049</v>
      </c>
      <c r="M20" s="64"/>
      <c r="N20" s="52"/>
      <c r="O20" s="52"/>
      <c r="P20" s="45"/>
      <c r="Q20" s="45"/>
      <c r="R20" s="105"/>
      <c r="S20" s="105"/>
      <c r="T20" s="105"/>
      <c r="U20" s="105"/>
      <c r="V20" s="10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</row>
    <row r="21" spans="1:40" ht="15" customHeight="1" thickBot="1" x14ac:dyDescent="0.3">
      <c r="B21" s="74" t="s">
        <v>21</v>
      </c>
      <c r="C21" s="75"/>
      <c r="D21" s="75"/>
      <c r="E21" s="75"/>
      <c r="F21" s="75"/>
      <c r="G21" s="75"/>
      <c r="H21" s="75"/>
      <c r="I21" s="75"/>
      <c r="J21" s="76"/>
      <c r="K21" s="77">
        <f>_izolačka_celé_období_vážený_průměr</f>
        <v>4159</v>
      </c>
      <c r="L21" s="60"/>
      <c r="M21" s="60"/>
      <c r="N21" s="52"/>
      <c r="O21" s="52"/>
      <c r="P21" s="139" t="s">
        <v>16</v>
      </c>
      <c r="Q21" s="139"/>
      <c r="R21" s="105"/>
      <c r="S21" s="105"/>
      <c r="T21" s="105"/>
      <c r="U21" s="105"/>
      <c r="V21" s="10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</row>
    <row r="22" spans="1:40" s="83" customFormat="1" ht="29.45" customHeight="1" thickBot="1" x14ac:dyDescent="0.3">
      <c r="A22" s="45"/>
      <c r="B22" s="78"/>
      <c r="C22" s="79"/>
      <c r="D22" s="79"/>
      <c r="E22" s="79"/>
      <c r="F22" s="79"/>
      <c r="G22" s="79"/>
      <c r="H22" s="79"/>
      <c r="I22" s="79"/>
      <c r="J22" s="80"/>
      <c r="K22" s="80"/>
      <c r="L22" s="81"/>
      <c r="M22" s="81"/>
      <c r="N22" s="52"/>
      <c r="O22" s="52"/>
      <c r="P22" s="142">
        <f>Q24+P24</f>
        <v>6240</v>
      </c>
      <c r="Q22" s="142"/>
      <c r="R22" s="105"/>
      <c r="S22" s="105"/>
      <c r="T22" s="105"/>
      <c r="U22" s="105"/>
      <c r="V22" s="10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1:40" ht="29.45" customHeight="1" thickBot="1" x14ac:dyDescent="0.3">
      <c r="B23" s="84" t="s">
        <v>28</v>
      </c>
      <c r="C23" s="85"/>
      <c r="D23" s="85"/>
      <c r="E23" s="85"/>
      <c r="F23" s="85"/>
      <c r="G23" s="85"/>
      <c r="H23" s="85"/>
      <c r="I23" s="85"/>
      <c r="J23" s="86"/>
      <c r="K23" s="87">
        <f>_celková_náhrada_v_době_karantény</f>
        <v>10399</v>
      </c>
      <c r="L23" s="88"/>
      <c r="M23" s="88"/>
      <c r="N23" s="52"/>
      <c r="O23" s="52"/>
      <c r="P23" s="82" t="s">
        <v>14</v>
      </c>
      <c r="Q23" s="82" t="s">
        <v>15</v>
      </c>
      <c r="R23" s="105"/>
      <c r="S23" s="105"/>
      <c r="T23" s="105"/>
      <c r="U23" s="105"/>
      <c r="V23" s="105"/>
      <c r="W23" s="45"/>
      <c r="X23" s="66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</row>
    <row r="24" spans="1:40" ht="18" customHeight="1" thickBot="1" x14ac:dyDescent="0.3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52"/>
      <c r="O24" s="52"/>
      <c r="P24" s="121">
        <f>_nahrada_mzdy_60_za_březen</f>
        <v>1944</v>
      </c>
      <c r="Q24" s="121">
        <f>_nahrada_mzdy_60_za_duben</f>
        <v>4296</v>
      </c>
      <c r="R24" s="105"/>
      <c r="S24" s="105"/>
      <c r="T24" s="105"/>
      <c r="U24" s="105"/>
      <c r="V24" s="10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</row>
    <row r="25" spans="1:40" ht="18" customHeight="1" thickBot="1" x14ac:dyDescent="0.3">
      <c r="B25" s="8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52"/>
      <c r="O25" s="45"/>
      <c r="P25" s="139"/>
      <c r="Q25" s="139"/>
      <c r="R25" s="105"/>
      <c r="S25" s="105"/>
      <c r="T25" s="105"/>
      <c r="U25" s="105"/>
      <c r="V25" s="105"/>
      <c r="W25" s="45"/>
      <c r="X25" s="66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</row>
    <row r="26" spans="1:40" ht="16.5" customHeight="1" x14ac:dyDescent="0.25">
      <c r="B26" s="141" t="s">
        <v>35</v>
      </c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90"/>
      <c r="N26" s="52"/>
      <c r="O26" s="107"/>
      <c r="P26" s="143" t="s">
        <v>17</v>
      </c>
      <c r="Q26" s="143"/>
      <c r="R26" s="105"/>
      <c r="S26" s="105"/>
      <c r="T26" s="105"/>
      <c r="U26" s="105"/>
      <c r="V26" s="107"/>
      <c r="W26" s="107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</row>
    <row r="27" spans="1:40" ht="26.25" customHeight="1" x14ac:dyDescent="0.25"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90"/>
      <c r="N27" s="52"/>
      <c r="O27" s="45"/>
      <c r="P27" s="144">
        <f>_celková_náhrada_v_době_karantény</f>
        <v>10399</v>
      </c>
      <c r="Q27" s="144"/>
      <c r="R27" s="105"/>
      <c r="S27" s="105"/>
      <c r="T27" s="105"/>
      <c r="U27" s="105"/>
      <c r="V27" s="10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</row>
    <row r="28" spans="1:40" ht="14.45" customHeight="1" x14ac:dyDescent="0.25">
      <c r="B28" s="93" t="s">
        <v>30</v>
      </c>
      <c r="C28" s="94"/>
      <c r="D28" s="94"/>
      <c r="E28" s="79"/>
      <c r="F28" s="79"/>
      <c r="G28" s="79"/>
      <c r="H28" s="79"/>
      <c r="I28" s="79"/>
      <c r="J28" s="79"/>
      <c r="K28" s="79"/>
      <c r="L28" s="79"/>
      <c r="M28" s="79"/>
      <c r="N28" s="52"/>
      <c r="O28" s="45"/>
      <c r="P28" s="144"/>
      <c r="Q28" s="144"/>
      <c r="R28" s="105"/>
      <c r="S28" s="105"/>
      <c r="T28" s="105"/>
      <c r="U28" s="105"/>
      <c r="V28" s="10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</row>
    <row r="29" spans="1:40" ht="14.45" customHeight="1" thickBot="1" x14ac:dyDescent="0.3">
      <c r="B29" s="96" t="s">
        <v>31</v>
      </c>
      <c r="C29" s="97"/>
      <c r="D29" s="123">
        <v>25500</v>
      </c>
      <c r="E29" s="79"/>
      <c r="F29" s="79"/>
      <c r="G29" s="79"/>
      <c r="H29" s="79"/>
      <c r="I29" s="79"/>
      <c r="J29" s="79"/>
      <c r="K29" s="79"/>
      <c r="L29" s="79"/>
      <c r="M29" s="79"/>
      <c r="N29" s="52"/>
      <c r="O29" s="52"/>
      <c r="P29" s="108" t="s">
        <v>14</v>
      </c>
      <c r="Q29" s="108" t="s">
        <v>15</v>
      </c>
      <c r="R29" s="106"/>
      <c r="S29" s="31"/>
      <c r="T29" s="31"/>
      <c r="U29" s="31"/>
      <c r="V29" s="105"/>
      <c r="W29" s="79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</row>
    <row r="30" spans="1:40" ht="15" customHeight="1" thickTop="1" x14ac:dyDescent="0.25">
      <c r="B30" s="98" t="s">
        <v>23</v>
      </c>
      <c r="C30" s="94"/>
      <c r="D30" s="111">
        <v>1</v>
      </c>
      <c r="E30" s="79"/>
      <c r="F30" s="79"/>
      <c r="G30" s="79"/>
      <c r="H30" s="79"/>
      <c r="I30" s="79"/>
      <c r="J30" s="79"/>
      <c r="K30" s="79"/>
      <c r="L30" s="79"/>
      <c r="M30" s="79"/>
      <c r="N30" s="52"/>
      <c r="O30" s="79"/>
      <c r="P30" s="122">
        <f>_březen_Součet_náhrady_mzdy_a_příspěvku_při_karanténě</f>
        <v>3054</v>
      </c>
      <c r="Q30" s="122">
        <f>_duben_náhrady_mzdy_a_příspěvku_při_karanténě</f>
        <v>7345</v>
      </c>
      <c r="R30" s="79"/>
      <c r="S30" s="79"/>
      <c r="T30" s="79"/>
      <c r="U30" s="79"/>
      <c r="V30" s="79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</row>
    <row r="31" spans="1:40" ht="15.75" x14ac:dyDescent="0.25">
      <c r="B31" s="99" t="s">
        <v>24</v>
      </c>
      <c r="C31" s="100"/>
      <c r="D31" s="101">
        <f>D29/(4.348*40*D30)</f>
        <v>146.61913523459063</v>
      </c>
      <c r="E31" s="79"/>
      <c r="F31" s="79"/>
      <c r="G31" s="79"/>
      <c r="H31" s="79"/>
      <c r="I31" s="79"/>
      <c r="J31" s="79"/>
      <c r="K31" s="79"/>
      <c r="L31" s="79"/>
      <c r="M31" s="79"/>
      <c r="N31" s="52"/>
      <c r="O31" s="45"/>
      <c r="P31" s="73"/>
      <c r="Q31" s="73"/>
      <c r="R31" s="105"/>
      <c r="S31" s="105"/>
      <c r="T31" s="105"/>
      <c r="U31" s="105"/>
      <c r="V31" s="73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</row>
    <row r="32" spans="1:40" x14ac:dyDescent="0.25">
      <c r="B32" s="141" t="s">
        <v>32</v>
      </c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O32" s="73"/>
      <c r="P32" s="73"/>
      <c r="Q32" s="73"/>
      <c r="R32" s="73"/>
      <c r="S32" s="73"/>
      <c r="T32" s="73"/>
      <c r="U32" s="73"/>
      <c r="V32" s="73"/>
      <c r="W32" s="73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</row>
    <row r="33" spans="2:35" x14ac:dyDescent="0.25"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O33" s="73"/>
      <c r="P33" s="73"/>
      <c r="Q33" s="73"/>
      <c r="R33" s="73"/>
      <c r="S33" s="73"/>
      <c r="T33" s="73"/>
      <c r="U33" s="73"/>
      <c r="V33" s="73"/>
      <c r="W33" s="73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</row>
    <row r="34" spans="2:35" x14ac:dyDescent="0.25">
      <c r="O34" s="73"/>
      <c r="P34" s="73"/>
      <c r="Q34" s="73"/>
      <c r="R34" s="73"/>
      <c r="S34" s="73"/>
      <c r="T34" s="73"/>
      <c r="U34" s="73"/>
      <c r="V34" s="73"/>
      <c r="W34" s="73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</row>
    <row r="35" spans="2:35" x14ac:dyDescent="0.25">
      <c r="O35" s="73"/>
      <c r="P35" s="73"/>
      <c r="Q35" s="73"/>
      <c r="R35" s="73"/>
      <c r="S35" s="73"/>
      <c r="T35" s="73"/>
      <c r="U35" s="73"/>
      <c r="V35" s="73"/>
      <c r="W35" s="73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</row>
    <row r="36" spans="2:35" ht="15.75" x14ac:dyDescent="0.25">
      <c r="O36" s="73"/>
      <c r="P36" s="140"/>
      <c r="Q36" s="140"/>
      <c r="R36" s="73"/>
      <c r="S36" s="73"/>
      <c r="T36" s="73"/>
      <c r="U36" s="73"/>
      <c r="V36" s="45"/>
      <c r="W36" s="73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</row>
    <row r="37" spans="2:35" ht="15.75" x14ac:dyDescent="0.25">
      <c r="O37" s="45"/>
      <c r="P37" s="91"/>
      <c r="Q37" s="91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</row>
    <row r="38" spans="2:35" ht="15.75" x14ac:dyDescent="0.25">
      <c r="O38" s="45"/>
      <c r="P38" s="92"/>
      <c r="Q38" s="92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</row>
    <row r="39" spans="2:35" ht="15.75" x14ac:dyDescent="0.25">
      <c r="O39" s="45"/>
      <c r="P39" s="95"/>
      <c r="Q39" s="9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</row>
    <row r="40" spans="2:35" x14ac:dyDescent="0.25">
      <c r="O40" s="45"/>
      <c r="P40" s="66"/>
      <c r="Q40" s="66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</row>
    <row r="41" spans="2:35" x14ac:dyDescent="0.25">
      <c r="O41" s="45"/>
      <c r="P41" s="66"/>
      <c r="Q41" s="66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</row>
    <row r="42" spans="2:35" x14ac:dyDescent="0.25">
      <c r="O42" s="45"/>
      <c r="P42" s="45"/>
      <c r="Q42" s="6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</row>
    <row r="43" spans="2:35" x14ac:dyDescent="0.25">
      <c r="O43" s="45"/>
      <c r="P43" s="6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</row>
    <row r="44" spans="2:35" x14ac:dyDescent="0.25"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</row>
    <row r="45" spans="2:35" x14ac:dyDescent="0.25"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</row>
    <row r="46" spans="2:35" x14ac:dyDescent="0.25"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</row>
    <row r="47" spans="2:35" x14ac:dyDescent="0.25"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</row>
    <row r="48" spans="2:35" x14ac:dyDescent="0.25"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</row>
    <row r="49" spans="15:35" x14ac:dyDescent="0.25"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</row>
    <row r="50" spans="15:35" x14ac:dyDescent="0.25"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</row>
    <row r="51" spans="15:35" x14ac:dyDescent="0.25"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</row>
    <row r="52" spans="15:35" x14ac:dyDescent="0.25"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</row>
    <row r="53" spans="15:35" x14ac:dyDescent="0.25"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</row>
    <row r="54" spans="15:35" x14ac:dyDescent="0.25"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</row>
    <row r="55" spans="15:35" x14ac:dyDescent="0.25"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</row>
    <row r="56" spans="15:35" x14ac:dyDescent="0.25"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</row>
    <row r="57" spans="15:35" x14ac:dyDescent="0.25"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</row>
    <row r="58" spans="15:35" x14ac:dyDescent="0.25"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</row>
    <row r="59" spans="15:35" x14ac:dyDescent="0.25"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</row>
    <row r="60" spans="15:35" x14ac:dyDescent="0.25"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</row>
    <row r="61" spans="15:35" x14ac:dyDescent="0.25"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</row>
    <row r="62" spans="15:35" x14ac:dyDescent="0.25"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</row>
    <row r="63" spans="15:35" x14ac:dyDescent="0.25"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</row>
    <row r="64" spans="15:35" x14ac:dyDescent="0.25"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</row>
    <row r="65" spans="15:35" x14ac:dyDescent="0.25"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</row>
    <row r="66" spans="15:35" x14ac:dyDescent="0.25"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</row>
    <row r="67" spans="15:35" x14ac:dyDescent="0.25"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</row>
    <row r="68" spans="15:35" x14ac:dyDescent="0.25"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</row>
    <row r="69" spans="15:35" x14ac:dyDescent="0.25"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</row>
    <row r="70" spans="15:35" x14ac:dyDescent="0.25"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</row>
    <row r="71" spans="15:35" x14ac:dyDescent="0.25"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</row>
    <row r="72" spans="15:35" x14ac:dyDescent="0.25"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</row>
    <row r="73" spans="15:35" x14ac:dyDescent="0.25"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</row>
    <row r="74" spans="15:35" x14ac:dyDescent="0.25"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</row>
    <row r="75" spans="15:35" x14ac:dyDescent="0.25"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</row>
    <row r="76" spans="15:35" x14ac:dyDescent="0.25"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</row>
    <row r="77" spans="15:35" x14ac:dyDescent="0.25"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</row>
    <row r="78" spans="15:35" x14ac:dyDescent="0.25"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</row>
    <row r="79" spans="15:35" x14ac:dyDescent="0.25"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</row>
    <row r="80" spans="15:35" x14ac:dyDescent="0.25"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</row>
    <row r="81" spans="15:35" x14ac:dyDescent="0.25"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</row>
    <row r="82" spans="15:35" x14ac:dyDescent="0.25"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</row>
    <row r="83" spans="15:35" x14ac:dyDescent="0.25"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</row>
    <row r="84" spans="15:35" x14ac:dyDescent="0.25"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</row>
    <row r="85" spans="15:35" x14ac:dyDescent="0.25"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</row>
    <row r="86" spans="15:35" x14ac:dyDescent="0.25"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</row>
    <row r="87" spans="15:35" x14ac:dyDescent="0.25"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</row>
    <row r="88" spans="15:35" x14ac:dyDescent="0.25"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</row>
    <row r="89" spans="15:35" x14ac:dyDescent="0.25"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</row>
    <row r="90" spans="15:35" x14ac:dyDescent="0.25"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</row>
    <row r="91" spans="15:35" x14ac:dyDescent="0.25"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</row>
    <row r="92" spans="15:35" x14ac:dyDescent="0.25"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</row>
    <row r="93" spans="15:35" x14ac:dyDescent="0.25"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</row>
    <row r="94" spans="15:35" x14ac:dyDescent="0.25"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</row>
    <row r="95" spans="15:35" x14ac:dyDescent="0.25"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</row>
    <row r="96" spans="15:35" x14ac:dyDescent="0.25"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</row>
    <row r="97" spans="15:35" x14ac:dyDescent="0.25"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</row>
    <row r="98" spans="15:35" x14ac:dyDescent="0.25"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</row>
    <row r="99" spans="15:35" x14ac:dyDescent="0.25"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</row>
    <row r="100" spans="15:35" x14ac:dyDescent="0.25"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</row>
    <row r="101" spans="15:35" x14ac:dyDescent="0.25"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</row>
    <row r="102" spans="15:35" x14ac:dyDescent="0.25"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</row>
    <row r="103" spans="15:35" x14ac:dyDescent="0.25"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</row>
    <row r="104" spans="15:35" x14ac:dyDescent="0.25"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</row>
    <row r="105" spans="15:35" x14ac:dyDescent="0.25"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</row>
    <row r="106" spans="15:35" x14ac:dyDescent="0.25"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</row>
    <row r="107" spans="15:35" x14ac:dyDescent="0.25"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</row>
    <row r="108" spans="15:35" x14ac:dyDescent="0.25"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</row>
    <row r="109" spans="15:35" x14ac:dyDescent="0.25"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</row>
    <row r="110" spans="15:35" x14ac:dyDescent="0.25"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</row>
    <row r="111" spans="15:35" x14ac:dyDescent="0.25"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</row>
    <row r="112" spans="15:35" x14ac:dyDescent="0.25"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</row>
    <row r="113" spans="15:35" x14ac:dyDescent="0.25"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</row>
    <row r="114" spans="15:35" x14ac:dyDescent="0.25"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</row>
    <row r="115" spans="15:35" x14ac:dyDescent="0.25"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</row>
    <row r="116" spans="15:35" x14ac:dyDescent="0.25"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</row>
    <row r="117" spans="15:35" x14ac:dyDescent="0.25"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</row>
    <row r="118" spans="15:35" x14ac:dyDescent="0.25"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</row>
    <row r="119" spans="15:35" x14ac:dyDescent="0.25"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</row>
    <row r="120" spans="15:35" x14ac:dyDescent="0.25">
      <c r="O120" s="45"/>
      <c r="P120" s="45"/>
      <c r="Q120" s="45"/>
      <c r="R120" s="45"/>
      <c r="S120" s="45"/>
      <c r="T120" s="45"/>
      <c r="U120" s="45"/>
      <c r="V120" s="45"/>
      <c r="W120" s="45"/>
    </row>
    <row r="121" spans="15:35" x14ac:dyDescent="0.25">
      <c r="O121" s="45"/>
      <c r="P121" s="45"/>
      <c r="Q121" s="45"/>
      <c r="R121" s="45"/>
      <c r="S121" s="45"/>
      <c r="T121" s="45"/>
      <c r="U121" s="45"/>
      <c r="V121" s="45"/>
      <c r="W121" s="45"/>
    </row>
    <row r="122" spans="15:35" x14ac:dyDescent="0.25">
      <c r="O122" s="45"/>
      <c r="P122" s="45"/>
      <c r="Q122" s="45"/>
      <c r="R122" s="45"/>
      <c r="S122" s="45"/>
      <c r="T122" s="45"/>
      <c r="U122" s="45"/>
      <c r="V122" s="45"/>
      <c r="W122" s="45"/>
    </row>
    <row r="123" spans="15:35" x14ac:dyDescent="0.25">
      <c r="O123" s="45"/>
      <c r="P123" s="45"/>
      <c r="Q123" s="45"/>
      <c r="R123" s="45"/>
      <c r="S123" s="45"/>
      <c r="T123" s="45"/>
      <c r="U123" s="45"/>
      <c r="V123" s="45"/>
      <c r="W123" s="45"/>
    </row>
    <row r="124" spans="15:35" x14ac:dyDescent="0.25">
      <c r="O124" s="45"/>
      <c r="P124" s="45"/>
      <c r="Q124" s="45"/>
      <c r="R124" s="45"/>
      <c r="S124" s="45"/>
      <c r="T124" s="45"/>
      <c r="U124" s="45"/>
      <c r="V124" s="45"/>
      <c r="W124" s="45"/>
    </row>
    <row r="125" spans="15:35" x14ac:dyDescent="0.25">
      <c r="O125" s="45"/>
      <c r="P125" s="45"/>
      <c r="Q125" s="45"/>
      <c r="R125" s="45"/>
      <c r="S125" s="45"/>
      <c r="T125" s="45"/>
      <c r="U125" s="45"/>
      <c r="V125" s="45"/>
      <c r="W125" s="45"/>
    </row>
    <row r="126" spans="15:35" x14ac:dyDescent="0.25">
      <c r="O126" s="45"/>
      <c r="P126" s="45"/>
      <c r="Q126" s="45"/>
      <c r="R126" s="45"/>
      <c r="S126" s="45"/>
      <c r="T126" s="45"/>
      <c r="U126" s="45"/>
      <c r="V126" s="45"/>
      <c r="W126" s="45"/>
    </row>
    <row r="127" spans="15:35" x14ac:dyDescent="0.25">
      <c r="O127" s="45"/>
      <c r="P127" s="45"/>
      <c r="Q127" s="45"/>
      <c r="R127" s="45"/>
      <c r="S127" s="45"/>
      <c r="T127" s="45"/>
      <c r="U127" s="45"/>
      <c r="V127" s="45"/>
      <c r="W127" s="45"/>
    </row>
    <row r="128" spans="15:35" x14ac:dyDescent="0.25">
      <c r="O128" s="45"/>
      <c r="R128" s="45"/>
      <c r="S128" s="45"/>
      <c r="T128" s="45"/>
      <c r="U128" s="45"/>
      <c r="V128" s="45"/>
      <c r="W128" s="45"/>
    </row>
    <row r="129" spans="15:23" x14ac:dyDescent="0.25">
      <c r="O129" s="45"/>
      <c r="R129" s="45"/>
      <c r="S129" s="45"/>
      <c r="T129" s="45"/>
      <c r="U129" s="45"/>
      <c r="W129" s="45"/>
    </row>
  </sheetData>
  <sheetProtection algorithmName="SHA-512" hashValue="ea0LCmPoBheWZdMszCVSBmQr0fUumOlLSzMsFWnd764/nwnM61XEQY8PQhlZcAcdzTceFB6AazT+BdfuqAgEpQ==" saltValue="9OoZI0uOwkwBEo7Yg4zvGA==" spinCount="100000" sheet="1" objects="1" scenarios="1"/>
  <protectedRanges>
    <protectedRange sqref="D29:D30" name="Oblast1"/>
  </protectedRanges>
  <mergeCells count="15">
    <mergeCell ref="P21:Q21"/>
    <mergeCell ref="P36:Q36"/>
    <mergeCell ref="B26:L27"/>
    <mergeCell ref="P22:Q22"/>
    <mergeCell ref="P25:Q25"/>
    <mergeCell ref="P26:Q26"/>
    <mergeCell ref="P27:Q28"/>
    <mergeCell ref="B32:L33"/>
    <mergeCell ref="R4:R5"/>
    <mergeCell ref="B20:I20"/>
    <mergeCell ref="B6:G6"/>
    <mergeCell ref="J2:L2"/>
    <mergeCell ref="P5:Q5"/>
    <mergeCell ref="P4:Q4"/>
    <mergeCell ref="B14:G1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A7D66-106D-41A9-812F-EC61D7101362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35</vt:i4>
      </vt:variant>
    </vt:vector>
  </HeadingPairs>
  <TitlesOfParts>
    <vt:vector size="37" baseType="lpstr">
      <vt:lpstr>kalkulačka_výpočet_přelom</vt:lpstr>
      <vt:lpstr>List1</vt:lpstr>
      <vt:lpstr>_brezen_výše_příspěvku_na_karanténu</vt:lpstr>
      <vt:lpstr>_březen_90_průměrné_mzdy_za_dobu_karantény</vt:lpstr>
      <vt:lpstr>_březen_případné_snížení_příspěvku</vt:lpstr>
      <vt:lpstr>_březen_příspěvek_na_karanténu_370_Kč_za_den</vt:lpstr>
      <vt:lpstr>_březen_součet_náhrady_mzdy_a_maximálního_příspěvku</vt:lpstr>
      <vt:lpstr>_březen_Součet_náhrady_mzdy_a_příspěvku_při_karanténě</vt:lpstr>
      <vt:lpstr>_celé_období_90_průměrné_mzdy_za_dobu_karantény</vt:lpstr>
      <vt:lpstr>_celé_období_případné_snížení_příspěvku</vt:lpstr>
      <vt:lpstr>_celé_období_příspěvek_karanténa</vt:lpstr>
      <vt:lpstr>_celé_období_příspěvek_na_karanténu_370_Kč_za_den</vt:lpstr>
      <vt:lpstr>_celková_náhrada_v_době_karantény</vt:lpstr>
      <vt:lpstr>_dny_březen</vt:lpstr>
      <vt:lpstr>_dny_duben</vt:lpstr>
      <vt:lpstr>_duben_90</vt:lpstr>
      <vt:lpstr>_duben_izolacka</vt:lpstr>
      <vt:lpstr>_duben_náhrady_mzdy_a_příspěvku_při_karanténě</vt:lpstr>
      <vt:lpstr>_duben_příspěvek_karanténa</vt:lpstr>
      <vt:lpstr>_duben_Součet_náhrady_mzdy_a_příspěvku_při_karanténě</vt:lpstr>
      <vt:lpstr>_hodiny_březen</vt:lpstr>
      <vt:lpstr>_hodiny_duben</vt:lpstr>
      <vt:lpstr>_izolačka_celé_období_vážený_průměr</vt:lpstr>
      <vt:lpstr>_mzda_březen</vt:lpstr>
      <vt:lpstr>_mzda_duben</vt:lpstr>
      <vt:lpstr>_nahrada_mzdy_60_za_březen</vt:lpstr>
      <vt:lpstr>_nahrada_mzdy_60_za_duben</vt:lpstr>
      <vt:lpstr>_nahrada_mzdy_60_za_období_karantény</vt:lpstr>
      <vt:lpstr>_nahrada_mzdy_60_za_období_karantény_pomocí_váženého_průměru</vt:lpstr>
      <vt:lpstr>_prispevek_vyplaceny_za_duben</vt:lpstr>
      <vt:lpstr>_provizorni_prispevek_brezen</vt:lpstr>
      <vt:lpstr>_příspěvek_na_karanténu</vt:lpstr>
      <vt:lpstr>_strop_náhrady_období_karantény</vt:lpstr>
      <vt:lpstr>_strop_náhrady_v_březnu</vt:lpstr>
      <vt:lpstr>_vážený_průměr_průměrná_hodinová_mzda_celé_období_karantnény</vt:lpstr>
      <vt:lpstr>brezen_60_reduk_prum_karantena</vt:lpstr>
      <vt:lpstr>duben_60_reduk_prum_karantena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příspěvek na karanténu - izolačka přelom březen duben</dc:title>
  <dc:creator>Šomoši Juraj Ing. (MPSV)</dc:creator>
  <cp:lastModifiedBy>Dufková Lenka Ing. (MPSV)</cp:lastModifiedBy>
  <dcterms:created xsi:type="dcterms:W3CDTF">2021-02-15T14:12:50Z</dcterms:created>
  <dcterms:modified xsi:type="dcterms:W3CDTF">2021-04-01T11:11:30Z</dcterms:modified>
</cp:coreProperties>
</file>